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97BEB27F-3E1D-4447-AF3D-C4C3B95DFBF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-Ejec " sheetId="2" r:id="rId2"/>
    <sheet name="P3 Ejecucion 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6" i="2" l="1"/>
  <c r="R71" i="2"/>
  <c r="E70" i="2" l="1"/>
  <c r="E60" i="2"/>
  <c r="E44" i="2"/>
  <c r="E34" i="2"/>
  <c r="E24" i="2"/>
  <c r="E18" i="2"/>
  <c r="D60" i="2"/>
  <c r="D44" i="2"/>
  <c r="D34" i="2"/>
  <c r="D24" i="2"/>
  <c r="D18" i="2"/>
  <c r="D91" i="2" s="1"/>
  <c r="R21" i="2"/>
  <c r="R26" i="2"/>
  <c r="R27" i="2"/>
  <c r="R28" i="2"/>
  <c r="R29" i="2"/>
  <c r="R30" i="2"/>
  <c r="R33" i="2"/>
  <c r="R35" i="2"/>
  <c r="R36" i="2"/>
  <c r="R38" i="2"/>
  <c r="R39" i="2"/>
  <c r="R40" i="2"/>
  <c r="R62" i="2"/>
  <c r="R64" i="2"/>
  <c r="I19" i="2"/>
  <c r="J19" i="2"/>
  <c r="J18" i="2" s="1"/>
  <c r="J91" i="2" s="1"/>
  <c r="K19" i="2"/>
  <c r="L19" i="2"/>
  <c r="M19" i="2"/>
  <c r="O19" i="2"/>
  <c r="P19" i="2"/>
  <c r="I20" i="2"/>
  <c r="J20" i="2"/>
  <c r="K20" i="2"/>
  <c r="M20" i="2"/>
  <c r="M18" i="2" s="1"/>
  <c r="M91" i="2" s="1"/>
  <c r="O20" i="2"/>
  <c r="P20" i="2"/>
  <c r="J23" i="2"/>
  <c r="K23" i="2"/>
  <c r="L23" i="2"/>
  <c r="M23" i="2"/>
  <c r="O23" i="2"/>
  <c r="P23" i="2"/>
  <c r="F24" i="2"/>
  <c r="G24" i="2"/>
  <c r="H24" i="2"/>
  <c r="I24" i="2"/>
  <c r="J24" i="2"/>
  <c r="K24" i="2"/>
  <c r="L24" i="2"/>
  <c r="M24" i="2"/>
  <c r="N24" i="2"/>
  <c r="Q24" i="2"/>
  <c r="O25" i="2"/>
  <c r="O24" i="2" s="1"/>
  <c r="P31" i="2"/>
  <c r="R31" i="2" s="1"/>
  <c r="P32" i="2"/>
  <c r="P24" i="2" s="1"/>
  <c r="F34" i="2"/>
  <c r="G34" i="2"/>
  <c r="H34" i="2"/>
  <c r="I34" i="2"/>
  <c r="J34" i="2"/>
  <c r="L34" i="2"/>
  <c r="M34" i="2"/>
  <c r="N34" i="2"/>
  <c r="Q34" i="2"/>
  <c r="O37" i="2"/>
  <c r="R37" i="2" s="1"/>
  <c r="K41" i="2"/>
  <c r="K34" i="2" s="1"/>
  <c r="P43" i="2"/>
  <c r="P34" i="2" s="1"/>
  <c r="F44" i="2"/>
  <c r="G44" i="2"/>
  <c r="H44" i="2"/>
  <c r="I44" i="2"/>
  <c r="J44" i="2"/>
  <c r="K44" i="2"/>
  <c r="L44" i="2"/>
  <c r="M44" i="2"/>
  <c r="N44" i="2"/>
  <c r="O44" i="2"/>
  <c r="P44" i="2"/>
  <c r="Q44" i="2"/>
  <c r="H60" i="2"/>
  <c r="I60" i="2"/>
  <c r="J60" i="2"/>
  <c r="L60" i="2"/>
  <c r="M60" i="2"/>
  <c r="N60" i="2"/>
  <c r="O60" i="2"/>
  <c r="Q60" i="2"/>
  <c r="K61" i="2"/>
  <c r="R61" i="2" s="1"/>
  <c r="P61" i="2"/>
  <c r="P60" i="2" s="1"/>
  <c r="K65" i="2"/>
  <c r="R65" i="2" s="1"/>
  <c r="H70" i="2"/>
  <c r="I70" i="2"/>
  <c r="J70" i="2"/>
  <c r="K70" i="2"/>
  <c r="L70" i="2"/>
  <c r="M70" i="2"/>
  <c r="N70" i="2"/>
  <c r="O70" i="2"/>
  <c r="P70" i="2"/>
  <c r="Q70" i="2"/>
  <c r="H18" i="2"/>
  <c r="L18" i="2"/>
  <c r="L91" i="2" s="1"/>
  <c r="N18" i="2"/>
  <c r="Q18" i="2"/>
  <c r="R20" i="2" l="1"/>
  <c r="P18" i="2"/>
  <c r="O18" i="2"/>
  <c r="K18" i="2"/>
  <c r="R23" i="2"/>
  <c r="R70" i="2"/>
  <c r="R24" i="2"/>
  <c r="H91" i="2"/>
  <c r="R44" i="2"/>
  <c r="P91" i="2"/>
  <c r="E91" i="2"/>
  <c r="Q91" i="2"/>
  <c r="R19" i="2"/>
  <c r="O34" i="2"/>
  <c r="R43" i="2"/>
  <c r="N91" i="2"/>
  <c r="R41" i="2"/>
  <c r="K60" i="2"/>
  <c r="R60" i="2" s="1"/>
  <c r="I18" i="2"/>
  <c r="I91" i="2" s="1"/>
  <c r="R25" i="2"/>
  <c r="R32" i="2"/>
  <c r="G18" i="2"/>
  <c r="G91" i="2" s="1"/>
  <c r="O91" i="2" l="1"/>
  <c r="K91" i="2"/>
  <c r="R34" i="2"/>
  <c r="F18" i="2"/>
  <c r="R18" i="2" s="1"/>
  <c r="R91" i="2" s="1"/>
  <c r="F91" i="2" l="1"/>
</calcChain>
</file>

<file path=xl/sharedStrings.xml><?xml version="1.0" encoding="utf-8"?>
<sst xmlns="http://schemas.openxmlformats.org/spreadsheetml/2006/main" count="288" uniqueCount="115">
  <si>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</si>
  <si>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</si>
  <si>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</si>
  <si>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</si>
  <si>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</si>
  <si>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</si>
  <si>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</si>
  <si>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</si>
  <si>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</si>
  <si>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</si>
  <si>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</si>
  <si>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</si>
  <si>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</si>
  <si>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</si>
  <si>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</si>
  <si>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</si>
  <si>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</si>
  <si>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</si>
  <si>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</si>
  <si>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</si>
  <si>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</si>
  <si>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</si>
  <si>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</si>
  <si>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</si>
  <si>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</si>
  <si>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</si>
  <si>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</si>
  <si>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</si>
  <si>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</si>
  <si>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</si>
  <si>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</si>
  <si>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</si>
  <si>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</si>
  <si>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</si>
  <si>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</si>
  <si>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</si>
  <si>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</si>
  <si>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</si>
  <si>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</si>
  <si>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</si>
  <si>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</si>
  <si>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</si>
  <si>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</si>
  <si>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</si>
  <si>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</si>
  <si>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</si>
  <si>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</si>
  <si>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</si>
  <si>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</si>
  <si>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</si>
  <si>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</si>
  <si>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</si>
  <si>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</si>
  <si>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</si>
  <si>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</si>
  <si>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</si>
  <si>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</si>
  <si>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</si>
  <si>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</si>
  <si>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</si>
  <si>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</si>
  <si>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</si>
  <si>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</si>
  <si>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</si>
  <si>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</si>
  <si>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</si>
  <si>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</si>
  <si>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</si>
  <si>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</si>
  <si>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</si>
  <si>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</si>
  <si>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</si>
  <si>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</si>
  <si>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</si>
  <si>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</si>
  <si>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</si>
  <si>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</si>
  <si>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</si>
  <si>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</si>
  <si>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</si>
  <si>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</si>
  <si>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</si>
  <si>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</si>
  <si>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</si>
  <si>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</si>
  <si>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</si>
  <si>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</si>
  <si>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</si>
  <si>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</si>
  <si>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</si>
  <si>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</si>
  <si>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</si>
  <si>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</si>
  <si>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</si>
  <si>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</si>
  <si>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</si>
  <si>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</si>
  <si>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</si>
  <si>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</si>
  <si>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</si>
  <si>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</si>
  <si>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</si>
  <si>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</si>
  <si>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MILDRED MOTA </t>
  </si>
  <si>
    <t>GISELLE MARZAN</t>
  </si>
  <si>
    <t xml:space="preserve">ENCARGADO PRESUPUESTO </t>
  </si>
  <si>
    <t>ENCARGADA CONTABILIDAD</t>
  </si>
  <si>
    <t xml:space="preserve">Presupuesto Aprobado:  </t>
  </si>
  <si>
    <t>Se refiere al presupuesto aprobado en la Ley de Presupuesto general del Estado.</t>
  </si>
  <si>
    <t>Presupuesto modificado:</t>
  </si>
  <si>
    <r>
      <t>Se refiere al presupuesto aprobado en caso de que el Congreso Nacional apruebe un presupuesto complementario.</t>
    </r>
    <r>
      <rPr>
        <b/>
        <sz val="11"/>
        <color rgb="FF000000"/>
        <rFont val="Calibri"/>
        <family val="2"/>
        <scheme val="minor"/>
      </rPr>
      <t> </t>
    </r>
  </si>
  <si>
    <t>Total Devengado: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</si>
  <si>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</si>
  <si>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DEL 01 DE ENERO AL 30 DE NOVIEMBRE 2021</t>
  </si>
  <si>
    <t>FECHA DE PREPARACION 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</si>
</sst>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164" fontId="3" fillId="0" borderId="0" xfId="0" applyNumberFormat="1" applyFont="1" applyBorder="1"/>
    <xf numFmtId="43" fontId="3" fillId="0" borderId="0" xfId="0" applyNumberFormat="1" applyFont="1" applyBorder="1"/>
    <xf numFmtId="43" fontId="3" fillId="0" borderId="10" xfId="0" applyNumberFormat="1" applyFont="1" applyBorder="1"/>
    <xf numFmtId="43" fontId="0" fillId="0" borderId="12" xfId="0" applyNumberFormat="1" applyBorder="1"/>
    <xf numFmtId="43" fontId="3" fillId="0" borderId="12" xfId="0" applyNumberFormat="1" applyFont="1" applyBorder="1"/>
    <xf numFmtId="43" fontId="3" fillId="0" borderId="16" xfId="0" applyNumberFormat="1" applyFont="1" applyBorder="1"/>
    <xf numFmtId="43" fontId="0" fillId="0" borderId="13" xfId="0" applyNumberFormat="1" applyBorder="1"/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3" fillId="0" borderId="18" xfId="0" applyFont="1" applyBorder="1" applyAlignment="1">
      <alignment horizontal="left" indent="1"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 horizontal="left" indent="2"/>
    </xf>
    <xf numFmtId="165" fontId="0" fillId="0" borderId="0" xfId="0" applyNumberFormat="1"/>
    <xf numFmtId="0" fontId="9" fillId="0" borderId="0" xfId="0" applyFont="1"/>
    <xf numFmtId="0" fontId="6" fillId="3" borderId="0" xfId="0" applyFont="1" applyFill="1" applyAlignment="1"/>
    <xf numFmtId="0" fontId="10" fillId="3" borderId="0" xfId="0" applyFont="1" applyFill="1" applyAlignment="1">
      <alignment horizontal="center"/>
    </xf>
    <xf numFmtId="0" fontId="6" fillId="3" borderId="0" xfId="0" applyFont="1" applyFill="1"/>
    <xf numFmtId="4" fontId="6" fillId="3" borderId="0" xfId="0" applyNumberFormat="1" applyFont="1" applyFill="1"/>
    <xf numFmtId="4" fontId="10" fillId="3" borderId="0" xfId="0" applyNumberFormat="1" applyFont="1" applyFill="1" applyAlignment="1">
      <alignment horizontal="center"/>
    </xf>
    <xf numFmtId="0" fontId="10" fillId="3" borderId="0" xfId="0" applyFont="1" applyFill="1" applyAlignment="1"/>
    <xf numFmtId="0" fontId="6" fillId="3" borderId="0" xfId="0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4" fontId="3" fillId="0" borderId="10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0" fillId="3" borderId="12" xfId="0" applyNumberFormat="1" applyFill="1" applyBorder="1" applyAlignment="1">
      <alignment horizontal="right" vertical="center"/>
    </xf>
    <xf numFmtId="4" fontId="0" fillId="3" borderId="0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3" fontId="3" fillId="0" borderId="12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5" borderId="0" xfId="0" applyFont="1" applyFill="1" applyBorder="1" applyAlignment="1">
      <alignment vertical="center"/>
    </xf>
    <xf numFmtId="4" fontId="3" fillId="0" borderId="17" xfId="1" applyNumberFormat="1" applyFont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3" fillId="0" borderId="18" xfId="1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3" fontId="3" fillId="0" borderId="18" xfId="1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4" fontId="3" fillId="3" borderId="17" xfId="0" applyNumberFormat="1" applyFont="1" applyFill="1" applyBorder="1" applyAlignment="1">
      <alignment horizontal="right" vertical="center"/>
    </xf>
    <xf numFmtId="4" fontId="3" fillId="3" borderId="18" xfId="0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right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4" fontId="8" fillId="3" borderId="18" xfId="0" applyNumberFormat="1" applyFont="1" applyFill="1" applyBorder="1" applyAlignment="1">
      <alignment horizontal="right" vertical="center"/>
    </xf>
    <xf numFmtId="43" fontId="3" fillId="0" borderId="17" xfId="0" applyNumberFormat="1" applyFont="1" applyBorder="1"/>
    <xf numFmtId="43" fontId="0" fillId="0" borderId="18" xfId="0" applyNumberFormat="1" applyBorder="1"/>
    <xf numFmtId="43" fontId="3" fillId="0" borderId="18" xfId="0" applyNumberFormat="1" applyFont="1" applyBorder="1"/>
    <xf numFmtId="43" fontId="3" fillId="0" borderId="19" xfId="0" applyNumberFormat="1" applyFont="1" applyBorder="1"/>
    <xf numFmtId="43" fontId="0" fillId="0" borderId="20" xfId="0" applyNumberFormat="1" applyBorder="1"/>
    <xf numFmtId="0" fontId="13" fillId="6" borderId="21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164" fontId="3" fillId="0" borderId="15" xfId="0" applyNumberFormat="1" applyFont="1" applyBorder="1"/>
    <xf numFmtId="164" fontId="3" fillId="0" borderId="13" xfId="0" applyNumberFormat="1" applyFont="1" applyBorder="1"/>
    <xf numFmtId="4" fontId="13" fillId="5" borderId="21" xfId="0" applyNumberFormat="1" applyFont="1" applyFill="1" applyBorder="1"/>
    <xf numFmtId="4" fontId="13" fillId="5" borderId="24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3" fillId="6" borderId="17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43" fontId="13" fillId="5" borderId="22" xfId="1" applyNumberFormat="1" applyFont="1" applyFill="1" applyBorder="1" applyAlignment="1">
      <alignment horizontal="center" vertical="center" wrapText="1"/>
    </xf>
    <xf numFmtId="43" fontId="13" fillId="5" borderId="23" xfId="1" applyNumberFormat="1" applyFont="1" applyFill="1" applyBorder="1" applyAlignment="1">
      <alignment horizontal="center" vertical="center" wrapText="1"/>
    </xf>
    <xf numFmtId="43" fontId="13" fillId="5" borderId="25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883894</xdr:colOff>
      <xdr:row>0</xdr:row>
      <xdr:rowOff>0</xdr:rowOff>
    </xdr:from>
    <xdr:to>
      <xdr:col>8</xdr:col>
      <xdr:colOff>582394</xdr:colOff>
      <xdr:row>7</xdr:row>
      <xdr:rowOff>187524</xdr:rowOff>
    </xdr:to>
    <xdr:pic>
      <xdr:nvPicPr>
        <xdr:cNvPr id="4" name="3 Imagen" descr="Logo-png- dgm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82738" y="0"/>
          <a:ext cx="2436938" cy="152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99" t="s">
        <v>78</v>
      </c>
      <c r="D3" s="100"/>
      <c r="E3" s="100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97" t="s">
        <v>67</v>
      </c>
      <c r="D4" s="98"/>
      <c r="E4" s="98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106" t="s">
        <v>68</v>
      </c>
      <c r="D5" s="107"/>
      <c r="E5" s="107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101" t="s">
        <v>79</v>
      </c>
      <c r="D6" s="102"/>
      <c r="E6" s="102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101" t="s">
        <v>80</v>
      </c>
      <c r="D7" s="102"/>
      <c r="E7" s="10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103" t="s">
        <v>66</v>
      </c>
      <c r="D9" s="104" t="s">
        <v>97</v>
      </c>
      <c r="E9" s="104" t="s">
        <v>96</v>
      </c>
      <c r="F9" s="8"/>
    </row>
    <row r="10" spans="2:16" ht="23.25" customHeight="1" x14ac:dyDescent="0.25">
      <c r="C10" s="103"/>
      <c r="D10" s="105"/>
      <c r="E10" s="105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C9:T106"/>
  <sheetViews>
    <sheetView showGridLines="0" tabSelected="1" topLeftCell="C79" zoomScale="80" zoomScaleNormal="80" workbookViewId="0">
      <selection activeCell="F111" sqref="F111"/>
    </sheetView>
  </sheetViews>
  <sheetFormatPr baseColWidth="10" defaultColWidth="11.42578125" defaultRowHeight="15" x14ac:dyDescent="0.25"/>
  <cols>
    <col min="1" max="2" width="0" hidden="1" customWidth="1"/>
    <col min="3" max="3" width="99.5703125" customWidth="1"/>
    <col min="4" max="4" width="17.5703125" style="27" customWidth="1"/>
    <col min="5" max="5" width="19.42578125" style="27" customWidth="1"/>
    <col min="6" max="6" width="16.28515625" customWidth="1"/>
    <col min="7" max="7" width="20.85546875" customWidth="1"/>
    <col min="8" max="8" width="20.140625" customWidth="1"/>
    <col min="9" max="9" width="15.85546875" customWidth="1"/>
    <col min="10" max="10" width="15.5703125" customWidth="1"/>
    <col min="11" max="11" width="14.140625" customWidth="1"/>
    <col min="12" max="12" width="15.140625" customWidth="1"/>
    <col min="13" max="13" width="18.5703125" customWidth="1"/>
    <col min="14" max="14" width="21.140625" customWidth="1"/>
    <col min="15" max="15" width="20.140625" customWidth="1"/>
    <col min="16" max="16" width="18.85546875" customWidth="1"/>
    <col min="17" max="17" width="11.7109375" bestFit="1" customWidth="1"/>
    <col min="18" max="18" width="20.42578125" customWidth="1"/>
    <col min="19" max="19" width="14.5703125" bestFit="1" customWidth="1"/>
  </cols>
  <sheetData>
    <row r="9" spans="3:18" ht="28.5" customHeight="1" x14ac:dyDescent="0.25">
      <c r="C9" s="99" t="s">
        <v>101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3:18" ht="21" customHeight="1" x14ac:dyDescent="0.25">
      <c r="C10" s="97" t="s">
        <v>102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3:18" ht="15.75" x14ac:dyDescent="0.25">
      <c r="C11" s="106" t="s">
        <v>113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3:18" ht="15.75" customHeight="1" x14ac:dyDescent="0.25">
      <c r="C12" s="101" t="s">
        <v>95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3:18" ht="15.75" customHeight="1" x14ac:dyDescent="0.25">
      <c r="C13" s="102" t="s">
        <v>80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5" spans="3:18" ht="25.5" customHeight="1" x14ac:dyDescent="0.25">
      <c r="C15" s="110" t="s">
        <v>66</v>
      </c>
      <c r="D15" s="112" t="s">
        <v>97</v>
      </c>
      <c r="E15" s="112" t="s">
        <v>96</v>
      </c>
      <c r="F15" s="109" t="s">
        <v>94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3:18" x14ac:dyDescent="0.25">
      <c r="C16" s="111"/>
      <c r="D16" s="113"/>
      <c r="E16" s="114"/>
      <c r="F16" s="91" t="s">
        <v>82</v>
      </c>
      <c r="G16" s="91" t="s">
        <v>83</v>
      </c>
      <c r="H16" s="91" t="s">
        <v>84</v>
      </c>
      <c r="I16" s="91" t="s">
        <v>85</v>
      </c>
      <c r="J16" s="91" t="s">
        <v>86</v>
      </c>
      <c r="K16" s="91" t="s">
        <v>87</v>
      </c>
      <c r="L16" s="91" t="s">
        <v>88</v>
      </c>
      <c r="M16" s="91" t="s">
        <v>89</v>
      </c>
      <c r="N16" s="91" t="s">
        <v>90</v>
      </c>
      <c r="O16" s="91" t="s">
        <v>91</v>
      </c>
      <c r="P16" s="91" t="s">
        <v>92</v>
      </c>
      <c r="Q16" s="91" t="s">
        <v>93</v>
      </c>
      <c r="R16" s="92" t="s">
        <v>81</v>
      </c>
    </row>
    <row r="17" spans="3:20" x14ac:dyDescent="0.25">
      <c r="C17" s="36" t="s">
        <v>0</v>
      </c>
      <c r="D17" s="30"/>
      <c r="E17" s="30"/>
      <c r="F17" s="9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93"/>
    </row>
    <row r="18" spans="3:20" x14ac:dyDescent="0.25">
      <c r="C18" s="37" t="s">
        <v>1</v>
      </c>
      <c r="D18" s="31">
        <f>+D19+D20+D21+D22+D23</f>
        <v>957690784</v>
      </c>
      <c r="E18" s="86">
        <f>SUM(E19:E23)</f>
        <v>1120703077.7700002</v>
      </c>
      <c r="F18" s="71">
        <f>+F19+F20+F21+F22+F23</f>
        <v>526738.15</v>
      </c>
      <c r="G18" s="71">
        <f t="shared" ref="G18:Q18" si="0">+G19+G20+G21+G22+G23</f>
        <v>118043576.95</v>
      </c>
      <c r="H18" s="53">
        <f t="shared" si="0"/>
        <v>60191193.889999993</v>
      </c>
      <c r="I18" s="71">
        <f t="shared" si="0"/>
        <v>100124603.94</v>
      </c>
      <c r="J18" s="71">
        <f t="shared" si="0"/>
        <v>70086438.519999996</v>
      </c>
      <c r="K18" s="52">
        <f t="shared" si="0"/>
        <v>74312747.379999995</v>
      </c>
      <c r="L18" s="71">
        <f t="shared" si="0"/>
        <v>80620533.770000011</v>
      </c>
      <c r="M18" s="71">
        <f t="shared" si="0"/>
        <v>97695439.739999995</v>
      </c>
      <c r="N18" s="71">
        <f t="shared" si="0"/>
        <v>81888975.299999997</v>
      </c>
      <c r="O18" s="71">
        <f t="shared" si="0"/>
        <v>22027167.609999999</v>
      </c>
      <c r="P18" s="71">
        <f t="shared" si="0"/>
        <v>169335654.06</v>
      </c>
      <c r="Q18" s="71">
        <f t="shared" si="0"/>
        <v>0</v>
      </c>
      <c r="R18" s="79">
        <f>SUM(F18:Q18)</f>
        <v>874853069.30999994</v>
      </c>
      <c r="S18" s="28"/>
      <c r="T18" s="28"/>
    </row>
    <row r="19" spans="3:20" x14ac:dyDescent="0.25">
      <c r="C19" s="38" t="s">
        <v>2</v>
      </c>
      <c r="D19" s="32">
        <v>682162000</v>
      </c>
      <c r="E19" s="87">
        <v>811761971.08000004</v>
      </c>
      <c r="F19" s="72">
        <v>482000</v>
      </c>
      <c r="G19" s="72">
        <v>89439692.549999997</v>
      </c>
      <c r="H19" s="55">
        <v>44295746.659999996</v>
      </c>
      <c r="I19" s="72">
        <f>24136060.03+63390113.91</f>
        <v>87526173.939999998</v>
      </c>
      <c r="J19" s="72">
        <f>24176063.36+25494551.66</f>
        <v>49670615.019999996</v>
      </c>
      <c r="K19" s="54">
        <f>22672621.69+33324747.64</f>
        <v>55997369.329999998</v>
      </c>
      <c r="L19" s="72">
        <f>20495330.03+45064043.68</f>
        <v>65559373.710000001</v>
      </c>
      <c r="M19" s="72">
        <f>21713050.02+58297559.39</f>
        <v>80010609.409999996</v>
      </c>
      <c r="N19" s="72">
        <v>60796321.329999998</v>
      </c>
      <c r="O19" s="85">
        <f>8720037.51+6866600</f>
        <v>15586637.51</v>
      </c>
      <c r="P19" s="72">
        <f>43302151.4+71348628.42</f>
        <v>114650779.81999999</v>
      </c>
      <c r="Q19" s="74"/>
      <c r="R19" s="72">
        <f t="shared" ref="R19:R70" si="1">SUM(F19:Q19)</f>
        <v>664015319.27999997</v>
      </c>
      <c r="S19" s="28"/>
      <c r="T19" s="28"/>
    </row>
    <row r="20" spans="3:20" x14ac:dyDescent="0.25">
      <c r="C20" s="38" t="s">
        <v>3</v>
      </c>
      <c r="D20" s="32">
        <v>185987916</v>
      </c>
      <c r="E20" s="87">
        <v>218294862.55000001</v>
      </c>
      <c r="F20" s="72">
        <v>33500</v>
      </c>
      <c r="G20" s="72">
        <v>16614443.98</v>
      </c>
      <c r="H20" s="55">
        <v>10018528.66</v>
      </c>
      <c r="I20" s="72">
        <f>164500+5230791.16</f>
        <v>5395291.1600000001</v>
      </c>
      <c r="J20" s="72">
        <f>356500+13363341.17</f>
        <v>13719841.17</v>
      </c>
      <c r="K20" s="54">
        <f>604500+10766437</f>
        <v>11370937</v>
      </c>
      <c r="L20" s="72">
        <v>6022412</v>
      </c>
      <c r="M20" s="72">
        <f>357000+9692443.12</f>
        <v>10049443.119999999</v>
      </c>
      <c r="N20" s="72">
        <v>12652212</v>
      </c>
      <c r="O20" s="85">
        <f>4796300+1394100</f>
        <v>6190400</v>
      </c>
      <c r="P20" s="72">
        <f>12825176.3+25289316.93</f>
        <v>38114493.230000004</v>
      </c>
      <c r="Q20" s="74"/>
      <c r="R20" s="72">
        <f t="shared" si="1"/>
        <v>130181502.32000001</v>
      </c>
      <c r="S20" s="28"/>
      <c r="T20" s="28"/>
    </row>
    <row r="21" spans="3:20" x14ac:dyDescent="0.25">
      <c r="C21" s="38" t="s">
        <v>4</v>
      </c>
      <c r="D21" s="32">
        <v>1998000</v>
      </c>
      <c r="E21" s="87">
        <v>715500</v>
      </c>
      <c r="F21" s="72"/>
      <c r="G21" s="72">
        <v>108000</v>
      </c>
      <c r="H21" s="55">
        <v>54000</v>
      </c>
      <c r="I21" s="72">
        <v>54000</v>
      </c>
      <c r="J21" s="72"/>
      <c r="K21" s="54"/>
      <c r="L21" s="72"/>
      <c r="M21" s="72"/>
      <c r="N21" s="72"/>
      <c r="O21" s="85"/>
      <c r="P21" s="72"/>
      <c r="Q21" s="74"/>
      <c r="R21" s="72">
        <f t="shared" si="1"/>
        <v>216000</v>
      </c>
      <c r="S21" s="28"/>
      <c r="T21" s="28"/>
    </row>
    <row r="22" spans="3:20" x14ac:dyDescent="0.25">
      <c r="C22" s="38" t="s">
        <v>5</v>
      </c>
      <c r="D22" s="32"/>
      <c r="E22" s="87"/>
      <c r="F22" s="72"/>
      <c r="G22" s="72"/>
      <c r="H22" s="55"/>
      <c r="I22" s="72"/>
      <c r="J22" s="72"/>
      <c r="K22" s="54"/>
      <c r="L22" s="72"/>
      <c r="M22" s="72"/>
      <c r="N22" s="72"/>
      <c r="O22" s="85"/>
      <c r="P22" s="72"/>
      <c r="Q22" s="74"/>
      <c r="R22" s="72"/>
      <c r="S22" s="28"/>
      <c r="T22" s="28"/>
    </row>
    <row r="23" spans="3:20" x14ac:dyDescent="0.25">
      <c r="C23" s="38" t="s">
        <v>6</v>
      </c>
      <c r="D23" s="32">
        <v>87542868</v>
      </c>
      <c r="E23" s="87">
        <v>89930744.140000001</v>
      </c>
      <c r="F23" s="72">
        <v>11238.15</v>
      </c>
      <c r="G23" s="72">
        <v>11881440.42</v>
      </c>
      <c r="H23" s="55">
        <v>5822918.5700000003</v>
      </c>
      <c r="I23" s="72">
        <v>7149138.8399999999</v>
      </c>
      <c r="J23" s="72">
        <f>3676542.65+3019439.68</f>
        <v>6695982.3300000001</v>
      </c>
      <c r="K23" s="54">
        <f>3444588.71+3499852.34</f>
        <v>6944441.0499999998</v>
      </c>
      <c r="L23" s="72">
        <f>3114226.07+5924521.99</f>
        <v>9038748.0600000005</v>
      </c>
      <c r="M23" s="72">
        <f>3303348.49+4332038.72</f>
        <v>7635387.21</v>
      </c>
      <c r="N23" s="72">
        <v>8440441.9700000007</v>
      </c>
      <c r="O23" s="85">
        <f>117655.56+132474.54</f>
        <v>250130.1</v>
      </c>
      <c r="P23" s="72">
        <f>6566650.33+10003730.68</f>
        <v>16570381.01</v>
      </c>
      <c r="Q23" s="74"/>
      <c r="R23" s="72">
        <f t="shared" si="1"/>
        <v>80440247.710000008</v>
      </c>
      <c r="S23" s="28"/>
      <c r="T23" s="28"/>
    </row>
    <row r="24" spans="3:20" x14ac:dyDescent="0.25">
      <c r="C24" s="39" t="s">
        <v>7</v>
      </c>
      <c r="D24" s="33">
        <f>+D25+D26+D27+D28+D29+D30+D31+D32+D33</f>
        <v>208710620</v>
      </c>
      <c r="E24" s="88">
        <f>SUM(E25:E33)</f>
        <v>291618422.15999997</v>
      </c>
      <c r="F24" s="73">
        <f>+F25+F26+F27+F28+F29+F30+F31+F32+F33</f>
        <v>0</v>
      </c>
      <c r="G24" s="73">
        <f t="shared" ref="G24:Q24" si="2">+G25+G26+G27+G28+G29+G30+G31+G32+G33</f>
        <v>13934242.549999999</v>
      </c>
      <c r="H24" s="58">
        <f t="shared" si="2"/>
        <v>17707438.960000001</v>
      </c>
      <c r="I24" s="73">
        <f t="shared" si="2"/>
        <v>10247583.089999998</v>
      </c>
      <c r="J24" s="73">
        <f t="shared" si="2"/>
        <v>11177780.040000001</v>
      </c>
      <c r="K24" s="57">
        <f t="shared" si="2"/>
        <v>16854721.009999998</v>
      </c>
      <c r="L24" s="73">
        <f t="shared" si="2"/>
        <v>4380788.0199999996</v>
      </c>
      <c r="M24" s="73">
        <f t="shared" si="2"/>
        <v>12139941.990000002</v>
      </c>
      <c r="N24" s="73">
        <f t="shared" si="2"/>
        <v>16830410.260000002</v>
      </c>
      <c r="O24" s="73">
        <f t="shared" si="2"/>
        <v>30516284.239999998</v>
      </c>
      <c r="P24" s="73">
        <f t="shared" si="2"/>
        <v>18402703.66</v>
      </c>
      <c r="Q24" s="73">
        <f t="shared" si="2"/>
        <v>0</v>
      </c>
      <c r="R24" s="80">
        <f t="shared" si="1"/>
        <v>152191893.81999999</v>
      </c>
      <c r="S24" s="28"/>
      <c r="T24" s="28"/>
    </row>
    <row r="25" spans="3:20" x14ac:dyDescent="0.25">
      <c r="C25" s="38" t="s">
        <v>8</v>
      </c>
      <c r="D25" s="32">
        <v>107070177</v>
      </c>
      <c r="E25" s="87">
        <v>80958789.590000004</v>
      </c>
      <c r="F25" s="74"/>
      <c r="G25" s="72">
        <v>9931034.5399999991</v>
      </c>
      <c r="H25" s="55">
        <v>3910036.92</v>
      </c>
      <c r="I25" s="72">
        <v>6025655.7400000002</v>
      </c>
      <c r="J25" s="72">
        <v>4718405.9800000004</v>
      </c>
      <c r="K25" s="54">
        <v>9107207.1099999994</v>
      </c>
      <c r="L25" s="72">
        <v>499453.74</v>
      </c>
      <c r="M25" s="72">
        <v>5557982.2699999996</v>
      </c>
      <c r="N25" s="72">
        <v>9047875.7100000009</v>
      </c>
      <c r="O25" s="85">
        <f>2351312.57+4487546.86</f>
        <v>6838859.4299999997</v>
      </c>
      <c r="P25" s="72">
        <v>11690000.439999999</v>
      </c>
      <c r="Q25" s="74"/>
      <c r="R25" s="72">
        <f t="shared" si="1"/>
        <v>67326511.879999995</v>
      </c>
      <c r="S25" s="28"/>
      <c r="T25" s="28"/>
    </row>
    <row r="26" spans="3:20" x14ac:dyDescent="0.25">
      <c r="C26" s="38" t="s">
        <v>9</v>
      </c>
      <c r="D26" s="32">
        <v>1722400</v>
      </c>
      <c r="E26" s="87">
        <v>5245633.34</v>
      </c>
      <c r="F26" s="74"/>
      <c r="G26" s="72"/>
      <c r="H26" s="55"/>
      <c r="I26" s="72">
        <v>300000</v>
      </c>
      <c r="J26" s="72">
        <v>434519</v>
      </c>
      <c r="K26" s="54">
        <v>176056</v>
      </c>
      <c r="L26" s="72"/>
      <c r="M26" s="72">
        <v>109150</v>
      </c>
      <c r="N26" s="72">
        <v>402144</v>
      </c>
      <c r="O26" s="85">
        <v>883717.12</v>
      </c>
      <c r="P26" s="72">
        <v>276975.99</v>
      </c>
      <c r="Q26" s="74"/>
      <c r="R26" s="72">
        <f t="shared" si="1"/>
        <v>2582562.1100000003</v>
      </c>
      <c r="S26" s="28"/>
      <c r="T26" s="28"/>
    </row>
    <row r="27" spans="3:20" x14ac:dyDescent="0.25">
      <c r="C27" s="38" t="s">
        <v>10</v>
      </c>
      <c r="D27" s="32">
        <v>13893335</v>
      </c>
      <c r="E27" s="87">
        <v>12459455</v>
      </c>
      <c r="F27" s="74"/>
      <c r="G27" s="72"/>
      <c r="H27" s="55">
        <v>54450</v>
      </c>
      <c r="I27" s="72"/>
      <c r="J27" s="72">
        <v>653400</v>
      </c>
      <c r="K27" s="54">
        <v>86940</v>
      </c>
      <c r="L27" s="72"/>
      <c r="M27" s="72">
        <v>1140750</v>
      </c>
      <c r="N27" s="72">
        <v>469700</v>
      </c>
      <c r="O27" s="85"/>
      <c r="P27" s="72">
        <v>230630.39999999999</v>
      </c>
      <c r="Q27" s="74"/>
      <c r="R27" s="72">
        <f t="shared" si="1"/>
        <v>2635870.4</v>
      </c>
      <c r="S27" s="28"/>
      <c r="T27" s="28"/>
    </row>
    <row r="28" spans="3:20" x14ac:dyDescent="0.25">
      <c r="C28" s="38" t="s">
        <v>11</v>
      </c>
      <c r="D28" s="32">
        <v>3000000</v>
      </c>
      <c r="E28" s="87">
        <v>3000000</v>
      </c>
      <c r="F28" s="74"/>
      <c r="G28" s="72">
        <v>140000</v>
      </c>
      <c r="H28" s="55"/>
      <c r="I28" s="72">
        <v>100000</v>
      </c>
      <c r="J28" s="72">
        <v>355916</v>
      </c>
      <c r="K28" s="54"/>
      <c r="L28" s="72"/>
      <c r="M28" s="72">
        <v>27960</v>
      </c>
      <c r="N28" s="72">
        <v>300000</v>
      </c>
      <c r="O28" s="85"/>
      <c r="P28" s="72">
        <v>365839</v>
      </c>
      <c r="Q28" s="74"/>
      <c r="R28" s="72">
        <f t="shared" si="1"/>
        <v>1289715</v>
      </c>
      <c r="S28" s="28"/>
      <c r="T28" s="28"/>
    </row>
    <row r="29" spans="3:20" x14ac:dyDescent="0.25">
      <c r="C29" s="38" t="s">
        <v>12</v>
      </c>
      <c r="D29" s="32">
        <v>16863000</v>
      </c>
      <c r="E29" s="87">
        <v>54365851.130000003</v>
      </c>
      <c r="F29" s="74"/>
      <c r="G29" s="72">
        <v>561877</v>
      </c>
      <c r="H29" s="55">
        <v>967692.77</v>
      </c>
      <c r="I29" s="72">
        <v>265937.89</v>
      </c>
      <c r="J29" s="72">
        <v>656198.07999999996</v>
      </c>
      <c r="K29" s="54">
        <v>166842.57999999999</v>
      </c>
      <c r="L29" s="72">
        <v>3827778.52</v>
      </c>
      <c r="M29" s="72">
        <v>2190928.62</v>
      </c>
      <c r="N29" s="72">
        <v>161199.94</v>
      </c>
      <c r="O29" s="85">
        <v>4431904.49</v>
      </c>
      <c r="P29" s="72">
        <v>287000</v>
      </c>
      <c r="Q29" s="74"/>
      <c r="R29" s="72">
        <f t="shared" si="1"/>
        <v>13517359.890000001</v>
      </c>
      <c r="S29" s="28"/>
      <c r="T29" s="28"/>
    </row>
    <row r="30" spans="3:20" x14ac:dyDescent="0.25">
      <c r="C30" s="38" t="s">
        <v>13</v>
      </c>
      <c r="D30" s="32">
        <v>39470000</v>
      </c>
      <c r="E30" s="87">
        <v>42003406.939999998</v>
      </c>
      <c r="F30" s="74"/>
      <c r="G30" s="72">
        <v>986353.81</v>
      </c>
      <c r="H30" s="55">
        <v>9710944.5299999993</v>
      </c>
      <c r="I30" s="72">
        <v>2906223.34</v>
      </c>
      <c r="J30" s="72">
        <v>300097</v>
      </c>
      <c r="K30" s="54">
        <v>3540240.89</v>
      </c>
      <c r="L30" s="72">
        <v>1875973.07</v>
      </c>
      <c r="M30" s="72">
        <v>281644</v>
      </c>
      <c r="N30" s="72">
        <v>1843700.39</v>
      </c>
      <c r="O30" s="85">
        <v>10838768.949999999</v>
      </c>
      <c r="P30" s="72">
        <v>3118047.35</v>
      </c>
      <c r="Q30" s="74"/>
      <c r="R30" s="72">
        <f t="shared" si="1"/>
        <v>35401993.329999998</v>
      </c>
      <c r="S30" s="28"/>
      <c r="T30" s="28"/>
    </row>
    <row r="31" spans="3:20" x14ac:dyDescent="0.25">
      <c r="C31" s="38" t="s">
        <v>14</v>
      </c>
      <c r="D31" s="32">
        <v>1950500</v>
      </c>
      <c r="E31" s="87">
        <v>45871584.359999999</v>
      </c>
      <c r="F31" s="74"/>
      <c r="G31" s="72">
        <v>654292.19999999995</v>
      </c>
      <c r="H31" s="55">
        <v>343664.46</v>
      </c>
      <c r="I31" s="72">
        <v>377706.12</v>
      </c>
      <c r="J31" s="72">
        <v>3169426.11</v>
      </c>
      <c r="K31" s="54">
        <v>426964.43</v>
      </c>
      <c r="L31" s="72">
        <v>12932.68</v>
      </c>
      <c r="M31" s="72">
        <v>387686.07</v>
      </c>
      <c r="N31" s="72">
        <v>4039980.22</v>
      </c>
      <c r="O31" s="85">
        <v>3246733.45</v>
      </c>
      <c r="P31" s="72">
        <f>54457+605319.89</f>
        <v>659776.89</v>
      </c>
      <c r="Q31" s="74"/>
      <c r="R31" s="72">
        <f t="shared" si="1"/>
        <v>13319162.629999999</v>
      </c>
      <c r="S31" s="28"/>
      <c r="T31" s="28"/>
    </row>
    <row r="32" spans="3:20" x14ac:dyDescent="0.25">
      <c r="C32" s="38" t="s">
        <v>15</v>
      </c>
      <c r="D32" s="32">
        <v>23741208</v>
      </c>
      <c r="E32" s="87">
        <v>45898857.460000001</v>
      </c>
      <c r="F32" s="74"/>
      <c r="G32" s="72">
        <v>1660685</v>
      </c>
      <c r="H32" s="55">
        <v>2678760.2799999998</v>
      </c>
      <c r="I32" s="72">
        <v>272060</v>
      </c>
      <c r="J32" s="72">
        <v>806480.55</v>
      </c>
      <c r="K32" s="54">
        <v>3350470</v>
      </c>
      <c r="L32" s="72">
        <v>-1941550</v>
      </c>
      <c r="M32" s="72">
        <v>2259567.64</v>
      </c>
      <c r="N32" s="72">
        <v>537490</v>
      </c>
      <c r="O32" s="85">
        <v>4209040.8</v>
      </c>
      <c r="P32" s="72">
        <f>1055658.59+718775</f>
        <v>1774433.59</v>
      </c>
      <c r="Q32" s="74"/>
      <c r="R32" s="72">
        <f t="shared" si="1"/>
        <v>15607437.859999999</v>
      </c>
      <c r="S32" s="28"/>
      <c r="T32" s="28"/>
    </row>
    <row r="33" spans="3:20" x14ac:dyDescent="0.25">
      <c r="C33" s="38" t="s">
        <v>16</v>
      </c>
      <c r="D33" s="32">
        <v>1000000</v>
      </c>
      <c r="E33" s="87">
        <v>1814844.34</v>
      </c>
      <c r="F33" s="74"/>
      <c r="G33" s="72"/>
      <c r="H33" s="55">
        <v>41890</v>
      </c>
      <c r="I33" s="72"/>
      <c r="J33" s="72">
        <v>83337.320000000007</v>
      </c>
      <c r="K33" s="54">
        <v>0</v>
      </c>
      <c r="L33" s="72">
        <v>106200.01</v>
      </c>
      <c r="M33" s="72">
        <v>184273.39</v>
      </c>
      <c r="N33" s="72">
        <v>28320</v>
      </c>
      <c r="O33" s="85">
        <v>67260</v>
      </c>
      <c r="P33" s="72"/>
      <c r="Q33" s="74"/>
      <c r="R33" s="72">
        <f t="shared" si="1"/>
        <v>511280.72000000003</v>
      </c>
      <c r="S33" s="28"/>
      <c r="T33" s="28"/>
    </row>
    <row r="34" spans="3:20" x14ac:dyDescent="0.25">
      <c r="C34" s="39" t="s">
        <v>17</v>
      </c>
      <c r="D34" s="33">
        <f>SUM(D35:D43)</f>
        <v>98822740</v>
      </c>
      <c r="E34" s="88">
        <f>SUM(E35:E43)</f>
        <v>324297117.85000002</v>
      </c>
      <c r="F34" s="73">
        <f>+F35+F36+F37+F38+F39+F40+F41+F42+F43</f>
        <v>0</v>
      </c>
      <c r="G34" s="73">
        <f t="shared" ref="G34:Q34" si="3">+G35+G36+G37+G38+G39+G40+G41+G42+G43</f>
        <v>5877805</v>
      </c>
      <c r="H34" s="58">
        <f t="shared" si="3"/>
        <v>23044368.109999999</v>
      </c>
      <c r="I34" s="73">
        <f t="shared" si="3"/>
        <v>34560.85</v>
      </c>
      <c r="J34" s="73">
        <f t="shared" si="3"/>
        <v>16102107.800000001</v>
      </c>
      <c r="K34" s="57">
        <f t="shared" si="3"/>
        <v>6620201.04</v>
      </c>
      <c r="L34" s="73">
        <f t="shared" si="3"/>
        <v>215354.40000000002</v>
      </c>
      <c r="M34" s="73">
        <f t="shared" si="3"/>
        <v>2002528.9300000002</v>
      </c>
      <c r="N34" s="73">
        <f t="shared" si="3"/>
        <v>15269449.15</v>
      </c>
      <c r="O34" s="73">
        <f t="shared" si="3"/>
        <v>3947608.91</v>
      </c>
      <c r="P34" s="73">
        <f t="shared" si="3"/>
        <v>3765686.81</v>
      </c>
      <c r="Q34" s="73">
        <f t="shared" si="3"/>
        <v>0</v>
      </c>
      <c r="R34" s="80">
        <f t="shared" si="1"/>
        <v>76879671</v>
      </c>
      <c r="S34" s="28"/>
      <c r="T34" s="28"/>
    </row>
    <row r="35" spans="3:20" x14ac:dyDescent="0.25">
      <c r="C35" s="38" t="s">
        <v>18</v>
      </c>
      <c r="D35" s="32">
        <v>1100000</v>
      </c>
      <c r="E35" s="87">
        <v>4129667.94</v>
      </c>
      <c r="F35" s="74"/>
      <c r="G35" s="74"/>
      <c r="H35" s="55">
        <v>41290</v>
      </c>
      <c r="I35" s="72"/>
      <c r="J35" s="72">
        <v>1029887.94</v>
      </c>
      <c r="K35" s="54"/>
      <c r="L35" s="72"/>
      <c r="M35" s="72">
        <v>252689.83</v>
      </c>
      <c r="N35" s="72">
        <v>47035.6</v>
      </c>
      <c r="O35" s="85">
        <v>626485.36</v>
      </c>
      <c r="P35" s="72"/>
      <c r="Q35" s="74"/>
      <c r="R35" s="72">
        <f t="shared" si="1"/>
        <v>1997388.73</v>
      </c>
      <c r="S35" s="28"/>
      <c r="T35" s="28"/>
    </row>
    <row r="36" spans="3:20" x14ac:dyDescent="0.25">
      <c r="C36" s="38" t="s">
        <v>19</v>
      </c>
      <c r="D36" s="32">
        <v>271000</v>
      </c>
      <c r="E36" s="87">
        <v>25067983.920000002</v>
      </c>
      <c r="F36" s="74"/>
      <c r="G36" s="74"/>
      <c r="H36" s="55">
        <v>26255</v>
      </c>
      <c r="I36" s="72"/>
      <c r="J36" s="72">
        <v>215043.92</v>
      </c>
      <c r="K36" s="54"/>
      <c r="L36" s="72"/>
      <c r="M36" s="72"/>
      <c r="N36" s="72">
        <v>15222</v>
      </c>
      <c r="O36" s="85"/>
      <c r="P36" s="72">
        <v>10122.040000000001</v>
      </c>
      <c r="Q36" s="74"/>
      <c r="R36" s="72">
        <f t="shared" si="1"/>
        <v>266642.96000000002</v>
      </c>
      <c r="S36" s="28"/>
      <c r="T36" s="28"/>
    </row>
    <row r="37" spans="3:20" x14ac:dyDescent="0.25">
      <c r="C37" s="38" t="s">
        <v>20</v>
      </c>
      <c r="D37" s="32">
        <v>420000</v>
      </c>
      <c r="E37" s="87">
        <v>6239439.1500000004</v>
      </c>
      <c r="F37" s="74"/>
      <c r="G37" s="74"/>
      <c r="H37" s="55"/>
      <c r="I37" s="72"/>
      <c r="J37" s="72">
        <v>343884.79999999999</v>
      </c>
      <c r="K37" s="54">
        <v>90357.05</v>
      </c>
      <c r="L37" s="72">
        <v>-55550</v>
      </c>
      <c r="M37" s="72">
        <v>1246972.3999999999</v>
      </c>
      <c r="N37" s="72">
        <v>711610.8</v>
      </c>
      <c r="O37" s="85">
        <f>353469+6308.99</f>
        <v>359777.99</v>
      </c>
      <c r="P37" s="72">
        <v>989725</v>
      </c>
      <c r="Q37" s="74"/>
      <c r="R37" s="72">
        <f t="shared" si="1"/>
        <v>3686778.04</v>
      </c>
      <c r="S37" s="28"/>
      <c r="T37" s="28"/>
    </row>
    <row r="38" spans="3:20" x14ac:dyDescent="0.25">
      <c r="C38" s="38" t="s">
        <v>21</v>
      </c>
      <c r="D38" s="32">
        <v>350000</v>
      </c>
      <c r="E38" s="87">
        <v>350000</v>
      </c>
      <c r="F38" s="74"/>
      <c r="G38" s="74"/>
      <c r="H38" s="55"/>
      <c r="I38" s="72">
        <v>5486.8</v>
      </c>
      <c r="J38" s="72">
        <v>120295.84</v>
      </c>
      <c r="K38" s="54"/>
      <c r="L38" s="72"/>
      <c r="M38" s="72">
        <v>41940.06</v>
      </c>
      <c r="N38" s="72"/>
      <c r="O38" s="85"/>
      <c r="P38" s="72"/>
      <c r="Q38" s="74"/>
      <c r="R38" s="72">
        <f t="shared" si="1"/>
        <v>167722.70000000001</v>
      </c>
      <c r="S38" s="28"/>
      <c r="T38" s="28"/>
    </row>
    <row r="39" spans="3:20" x14ac:dyDescent="0.25">
      <c r="C39" s="38" t="s">
        <v>22</v>
      </c>
      <c r="D39" s="32">
        <v>428000</v>
      </c>
      <c r="E39" s="87">
        <v>33244812.390000001</v>
      </c>
      <c r="F39" s="74"/>
      <c r="G39" s="74"/>
      <c r="H39" s="55">
        <v>14348676.1</v>
      </c>
      <c r="I39" s="72"/>
      <c r="J39" s="72">
        <v>382165.57</v>
      </c>
      <c r="K39" s="54"/>
      <c r="L39" s="72">
        <v>-7858.8</v>
      </c>
      <c r="M39" s="72">
        <v>151680.14000000001</v>
      </c>
      <c r="N39" s="72">
        <v>12632410.23</v>
      </c>
      <c r="O39" s="85">
        <v>1051026</v>
      </c>
      <c r="P39" s="72">
        <v>306884.96000000002</v>
      </c>
      <c r="Q39" s="74"/>
      <c r="R39" s="72">
        <f t="shared" si="1"/>
        <v>28864984.200000003</v>
      </c>
      <c r="S39" s="28"/>
      <c r="T39" s="28"/>
    </row>
    <row r="40" spans="3:20" x14ac:dyDescent="0.25">
      <c r="C40" s="38" t="s">
        <v>23</v>
      </c>
      <c r="D40" s="32">
        <v>1802500</v>
      </c>
      <c r="E40" s="87">
        <v>1607968.46</v>
      </c>
      <c r="F40" s="74"/>
      <c r="G40" s="74"/>
      <c r="H40" s="55"/>
      <c r="I40" s="72"/>
      <c r="J40" s="72">
        <v>68147.81</v>
      </c>
      <c r="K40" s="54"/>
      <c r="L40" s="72">
        <v>265500</v>
      </c>
      <c r="M40" s="72">
        <v>12910.01</v>
      </c>
      <c r="N40" s="72">
        <v>-255163.2</v>
      </c>
      <c r="O40" s="85">
        <v>410640</v>
      </c>
      <c r="P40" s="72">
        <v>115858.54</v>
      </c>
      <c r="Q40" s="74"/>
      <c r="R40" s="72">
        <f t="shared" si="1"/>
        <v>617893.16</v>
      </c>
      <c r="S40" s="28"/>
      <c r="T40" s="28"/>
    </row>
    <row r="41" spans="3:20" x14ac:dyDescent="0.25">
      <c r="C41" s="38" t="s">
        <v>24</v>
      </c>
      <c r="D41" s="32">
        <v>87996240</v>
      </c>
      <c r="E41" s="87">
        <v>70970203.489999995</v>
      </c>
      <c r="F41" s="74"/>
      <c r="G41" s="72">
        <v>5877805</v>
      </c>
      <c r="H41" s="55">
        <v>7761960.7999999998</v>
      </c>
      <c r="I41" s="72">
        <v>1250</v>
      </c>
      <c r="J41" s="72">
        <v>13401723.720000001</v>
      </c>
      <c r="K41" s="54">
        <f>1250000+5260120</f>
        <v>6510120</v>
      </c>
      <c r="L41" s="72"/>
      <c r="M41" s="72">
        <v>34505.18</v>
      </c>
      <c r="N41" s="72">
        <v>83279.199999999997</v>
      </c>
      <c r="O41" s="85">
        <v>23584.87</v>
      </c>
      <c r="P41" s="72">
        <v>379762.33</v>
      </c>
      <c r="Q41" s="74"/>
      <c r="R41" s="72">
        <f t="shared" si="1"/>
        <v>34073991.100000001</v>
      </c>
      <c r="S41" s="28"/>
      <c r="T41" s="28"/>
    </row>
    <row r="42" spans="3:20" x14ac:dyDescent="0.25">
      <c r="C42" s="38" t="s">
        <v>25</v>
      </c>
      <c r="D42" s="32"/>
      <c r="E42" s="87"/>
      <c r="F42" s="74"/>
      <c r="G42" s="74"/>
      <c r="H42" s="55"/>
      <c r="I42" s="72"/>
      <c r="J42" s="72"/>
      <c r="K42" s="54"/>
      <c r="L42" s="72"/>
      <c r="M42" s="72"/>
      <c r="N42" s="72"/>
      <c r="O42" s="85"/>
      <c r="P42" s="72"/>
      <c r="Q42" s="74"/>
      <c r="R42" s="72"/>
      <c r="S42" s="28"/>
      <c r="T42" s="28"/>
    </row>
    <row r="43" spans="3:20" x14ac:dyDescent="0.25">
      <c r="C43" s="38" t="s">
        <v>26</v>
      </c>
      <c r="D43" s="32">
        <v>6455000</v>
      </c>
      <c r="E43" s="87">
        <v>182687042.5</v>
      </c>
      <c r="F43" s="74"/>
      <c r="G43" s="74"/>
      <c r="H43" s="55">
        <v>866186.21</v>
      </c>
      <c r="I43" s="72">
        <v>27824.05</v>
      </c>
      <c r="J43" s="72">
        <v>540958.19999999995</v>
      </c>
      <c r="K43" s="54">
        <v>19723.990000000002</v>
      </c>
      <c r="L43" s="72">
        <v>13263.2</v>
      </c>
      <c r="M43" s="72">
        <v>261831.31</v>
      </c>
      <c r="N43" s="72">
        <v>2035054.52</v>
      </c>
      <c r="O43" s="85">
        <v>1476094.69</v>
      </c>
      <c r="P43" s="72">
        <f>171896.5+1791437.44</f>
        <v>1963333.94</v>
      </c>
      <c r="Q43" s="74"/>
      <c r="R43" s="72">
        <f t="shared" si="1"/>
        <v>7204270.1099999994</v>
      </c>
      <c r="S43" s="28"/>
      <c r="T43" s="28"/>
    </row>
    <row r="44" spans="3:20" x14ac:dyDescent="0.25">
      <c r="C44" s="39" t="s">
        <v>27</v>
      </c>
      <c r="D44" s="33">
        <f>SUM(D45:D52)</f>
        <v>40000</v>
      </c>
      <c r="E44" s="88">
        <f>SUM(E45)</f>
        <v>40000</v>
      </c>
      <c r="F44" s="73">
        <f>+F45+F46+F47+F48+F49+F50+F51+F52</f>
        <v>0</v>
      </c>
      <c r="G44" s="73">
        <f t="shared" ref="G44:Q44" si="4">+G45+G46+G47+G48+G49+G50+G51+G52</f>
        <v>0</v>
      </c>
      <c r="H44" s="58">
        <f t="shared" si="4"/>
        <v>0</v>
      </c>
      <c r="I44" s="73">
        <f t="shared" si="4"/>
        <v>0</v>
      </c>
      <c r="J44" s="73">
        <f t="shared" si="4"/>
        <v>0</v>
      </c>
      <c r="K44" s="57">
        <f t="shared" si="4"/>
        <v>0</v>
      </c>
      <c r="L44" s="73">
        <f t="shared" si="4"/>
        <v>0</v>
      </c>
      <c r="M44" s="73">
        <f t="shared" si="4"/>
        <v>0</v>
      </c>
      <c r="N44" s="73">
        <f t="shared" si="4"/>
        <v>0</v>
      </c>
      <c r="O44" s="73">
        <f t="shared" si="4"/>
        <v>0</v>
      </c>
      <c r="P44" s="73">
        <f t="shared" si="4"/>
        <v>0</v>
      </c>
      <c r="Q44" s="73">
        <f t="shared" si="4"/>
        <v>0</v>
      </c>
      <c r="R44" s="80">
        <f t="shared" si="1"/>
        <v>0</v>
      </c>
      <c r="S44" s="28"/>
      <c r="T44" s="28"/>
    </row>
    <row r="45" spans="3:20" x14ac:dyDescent="0.25">
      <c r="C45" s="38" t="s">
        <v>28</v>
      </c>
      <c r="D45" s="32">
        <v>40000</v>
      </c>
      <c r="E45" s="87">
        <v>40000</v>
      </c>
      <c r="F45" s="74"/>
      <c r="G45" s="74"/>
      <c r="H45" s="56"/>
      <c r="I45" s="74"/>
      <c r="J45" s="74"/>
      <c r="K45" s="59"/>
      <c r="L45" s="74"/>
      <c r="M45" s="74"/>
      <c r="N45" s="74"/>
      <c r="O45" s="74"/>
      <c r="P45" s="74"/>
      <c r="Q45" s="74"/>
      <c r="R45" s="72"/>
      <c r="S45" s="28"/>
      <c r="T45" s="28"/>
    </row>
    <row r="46" spans="3:20" x14ac:dyDescent="0.25">
      <c r="C46" s="38" t="s">
        <v>29</v>
      </c>
      <c r="D46" s="32"/>
      <c r="E46" s="87"/>
      <c r="F46" s="74"/>
      <c r="G46" s="74"/>
      <c r="H46" s="56"/>
      <c r="I46" s="74"/>
      <c r="J46" s="74"/>
      <c r="K46" s="59"/>
      <c r="L46" s="74"/>
      <c r="M46" s="74"/>
      <c r="N46" s="74"/>
      <c r="O46" s="74"/>
      <c r="P46" s="74"/>
      <c r="Q46" s="74"/>
      <c r="R46" s="72"/>
      <c r="S46" s="28"/>
      <c r="T46" s="28"/>
    </row>
    <row r="47" spans="3:20" x14ac:dyDescent="0.25">
      <c r="C47" s="38" t="s">
        <v>30</v>
      </c>
      <c r="D47" s="32"/>
      <c r="E47" s="87"/>
      <c r="F47" s="74"/>
      <c r="G47" s="74"/>
      <c r="H47" s="56"/>
      <c r="I47" s="74"/>
      <c r="J47" s="74"/>
      <c r="K47" s="59"/>
      <c r="L47" s="74"/>
      <c r="M47" s="74"/>
      <c r="N47" s="74"/>
      <c r="O47" s="74"/>
      <c r="P47" s="74"/>
      <c r="Q47" s="74"/>
      <c r="R47" s="72"/>
      <c r="S47" s="28"/>
      <c r="T47" s="28"/>
    </row>
    <row r="48" spans="3:20" x14ac:dyDescent="0.25">
      <c r="C48" s="38" t="s">
        <v>31</v>
      </c>
      <c r="D48" s="32"/>
      <c r="E48" s="87"/>
      <c r="F48" s="74"/>
      <c r="G48" s="74"/>
      <c r="H48" s="56"/>
      <c r="I48" s="74"/>
      <c r="J48" s="74"/>
      <c r="K48" s="59"/>
      <c r="L48" s="74"/>
      <c r="M48" s="74"/>
      <c r="N48" s="74"/>
      <c r="O48" s="74"/>
      <c r="P48" s="74"/>
      <c r="Q48" s="74"/>
      <c r="R48" s="72"/>
      <c r="S48" s="28"/>
      <c r="T48" s="28"/>
    </row>
    <row r="49" spans="3:20" x14ac:dyDescent="0.25">
      <c r="C49" s="38" t="s">
        <v>32</v>
      </c>
      <c r="D49" s="32"/>
      <c r="E49" s="87"/>
      <c r="F49" s="74"/>
      <c r="G49" s="74"/>
      <c r="H49" s="56"/>
      <c r="I49" s="74"/>
      <c r="J49" s="74"/>
      <c r="K49" s="59"/>
      <c r="L49" s="74"/>
      <c r="M49" s="74"/>
      <c r="N49" s="74"/>
      <c r="O49" s="74"/>
      <c r="P49" s="74"/>
      <c r="Q49" s="74"/>
      <c r="R49" s="72"/>
      <c r="S49" s="28"/>
      <c r="T49" s="28"/>
    </row>
    <row r="50" spans="3:20" x14ac:dyDescent="0.25">
      <c r="C50" s="38" t="s">
        <v>33</v>
      </c>
      <c r="D50" s="32"/>
      <c r="E50" s="87"/>
      <c r="F50" s="74"/>
      <c r="G50" s="74"/>
      <c r="H50" s="56"/>
      <c r="I50" s="74"/>
      <c r="J50" s="74"/>
      <c r="K50" s="59"/>
      <c r="L50" s="74"/>
      <c r="M50" s="74"/>
      <c r="N50" s="74"/>
      <c r="O50" s="74"/>
      <c r="P50" s="74"/>
      <c r="Q50" s="74"/>
      <c r="R50" s="72"/>
      <c r="S50" s="28"/>
      <c r="T50" s="28"/>
    </row>
    <row r="51" spans="3:20" x14ac:dyDescent="0.25">
      <c r="C51" s="38" t="s">
        <v>34</v>
      </c>
      <c r="D51" s="32"/>
      <c r="E51" s="87"/>
      <c r="F51" s="74"/>
      <c r="G51" s="74"/>
      <c r="H51" s="56"/>
      <c r="I51" s="74"/>
      <c r="J51" s="74"/>
      <c r="K51" s="59"/>
      <c r="L51" s="74"/>
      <c r="M51" s="74"/>
      <c r="N51" s="74"/>
      <c r="O51" s="74"/>
      <c r="P51" s="74"/>
      <c r="Q51" s="74"/>
      <c r="R51" s="72"/>
      <c r="S51" s="28"/>
      <c r="T51" s="28"/>
    </row>
    <row r="52" spans="3:20" x14ac:dyDescent="0.25">
      <c r="C52" s="38" t="s">
        <v>35</v>
      </c>
      <c r="D52" s="32"/>
      <c r="E52" s="87"/>
      <c r="F52" s="74"/>
      <c r="G52" s="74"/>
      <c r="H52" s="56"/>
      <c r="I52" s="74"/>
      <c r="J52" s="74"/>
      <c r="K52" s="59"/>
      <c r="L52" s="74"/>
      <c r="M52" s="74"/>
      <c r="N52" s="74"/>
      <c r="O52" s="74"/>
      <c r="P52" s="74"/>
      <c r="Q52" s="74"/>
      <c r="R52" s="72"/>
      <c r="S52" s="28"/>
      <c r="T52" s="28"/>
    </row>
    <row r="53" spans="3:20" x14ac:dyDescent="0.25">
      <c r="C53" s="39" t="s">
        <v>36</v>
      </c>
      <c r="D53" s="33"/>
      <c r="E53" s="88"/>
      <c r="F53" s="73"/>
      <c r="G53" s="73"/>
      <c r="H53" s="58"/>
      <c r="I53" s="73"/>
      <c r="J53" s="73"/>
      <c r="K53" s="57"/>
      <c r="L53" s="73"/>
      <c r="M53" s="73"/>
      <c r="N53" s="73"/>
      <c r="O53" s="73"/>
      <c r="P53" s="73"/>
      <c r="Q53" s="73"/>
      <c r="R53" s="72"/>
      <c r="S53" s="28"/>
      <c r="T53" s="28"/>
    </row>
    <row r="54" spans="3:20" x14ac:dyDescent="0.25">
      <c r="C54" s="38" t="s">
        <v>37</v>
      </c>
      <c r="D54" s="32"/>
      <c r="E54" s="87"/>
      <c r="F54" s="74"/>
      <c r="G54" s="74"/>
      <c r="H54" s="56"/>
      <c r="I54" s="74"/>
      <c r="J54" s="74"/>
      <c r="K54" s="59"/>
      <c r="L54" s="74"/>
      <c r="M54" s="74"/>
      <c r="N54" s="74"/>
      <c r="O54" s="74"/>
      <c r="P54" s="74"/>
      <c r="Q54" s="74"/>
      <c r="R54" s="72"/>
      <c r="S54" s="28"/>
      <c r="T54" s="28"/>
    </row>
    <row r="55" spans="3:20" x14ac:dyDescent="0.25">
      <c r="C55" s="38" t="s">
        <v>38</v>
      </c>
      <c r="D55" s="32"/>
      <c r="E55" s="87"/>
      <c r="F55" s="74"/>
      <c r="G55" s="74"/>
      <c r="H55" s="56"/>
      <c r="I55" s="74"/>
      <c r="J55" s="74"/>
      <c r="K55" s="59"/>
      <c r="L55" s="74"/>
      <c r="M55" s="74"/>
      <c r="N55" s="74"/>
      <c r="O55" s="74"/>
      <c r="P55" s="74"/>
      <c r="Q55" s="74"/>
      <c r="R55" s="72"/>
      <c r="S55" s="28"/>
      <c r="T55" s="28"/>
    </row>
    <row r="56" spans="3:20" x14ac:dyDescent="0.25">
      <c r="C56" s="38" t="s">
        <v>39</v>
      </c>
      <c r="D56" s="32"/>
      <c r="E56" s="87"/>
      <c r="F56" s="74"/>
      <c r="G56" s="74"/>
      <c r="H56" s="56"/>
      <c r="I56" s="74"/>
      <c r="J56" s="74"/>
      <c r="K56" s="59"/>
      <c r="L56" s="74"/>
      <c r="M56" s="74"/>
      <c r="N56" s="74"/>
      <c r="O56" s="74"/>
      <c r="P56" s="74"/>
      <c r="Q56" s="74"/>
      <c r="R56" s="72"/>
      <c r="S56" s="28"/>
      <c r="T56" s="28"/>
    </row>
    <row r="57" spans="3:20" x14ac:dyDescent="0.25">
      <c r="C57" s="38" t="s">
        <v>40</v>
      </c>
      <c r="D57" s="32"/>
      <c r="E57" s="87"/>
      <c r="F57" s="74"/>
      <c r="G57" s="74"/>
      <c r="H57" s="56"/>
      <c r="I57" s="74"/>
      <c r="J57" s="74"/>
      <c r="K57" s="59"/>
      <c r="L57" s="74"/>
      <c r="M57" s="74"/>
      <c r="N57" s="74"/>
      <c r="O57" s="74"/>
      <c r="P57" s="74"/>
      <c r="Q57" s="74"/>
      <c r="R57" s="72"/>
      <c r="S57" s="28"/>
      <c r="T57" s="28"/>
    </row>
    <row r="58" spans="3:20" x14ac:dyDescent="0.25">
      <c r="C58" s="38" t="s">
        <v>41</v>
      </c>
      <c r="D58" s="32"/>
      <c r="E58" s="87"/>
      <c r="F58" s="74"/>
      <c r="G58" s="74"/>
      <c r="H58" s="56"/>
      <c r="I58" s="74"/>
      <c r="J58" s="74"/>
      <c r="K58" s="59"/>
      <c r="L58" s="74"/>
      <c r="M58" s="74"/>
      <c r="N58" s="74"/>
      <c r="O58" s="74"/>
      <c r="P58" s="74"/>
      <c r="Q58" s="74"/>
      <c r="R58" s="72"/>
      <c r="S58" s="28"/>
      <c r="T58" s="28"/>
    </row>
    <row r="59" spans="3:20" x14ac:dyDescent="0.25">
      <c r="C59" s="38" t="s">
        <v>42</v>
      </c>
      <c r="D59" s="32"/>
      <c r="E59" s="87"/>
      <c r="F59" s="74"/>
      <c r="G59" s="74"/>
      <c r="H59" s="56"/>
      <c r="I59" s="74"/>
      <c r="J59" s="74"/>
      <c r="K59" s="59"/>
      <c r="L59" s="74"/>
      <c r="M59" s="74"/>
      <c r="N59" s="74"/>
      <c r="O59" s="74"/>
      <c r="P59" s="74"/>
      <c r="Q59" s="74"/>
      <c r="R59" s="72"/>
      <c r="S59" s="28"/>
      <c r="T59" s="28"/>
    </row>
    <row r="60" spans="3:20" x14ac:dyDescent="0.25">
      <c r="C60" s="39" t="s">
        <v>43</v>
      </c>
      <c r="D60" s="33">
        <f>SUM(D61:D69)</f>
        <v>90000</v>
      </c>
      <c r="E60" s="88">
        <f>SUM(E61:E69)</f>
        <v>167859929.06000003</v>
      </c>
      <c r="F60" s="73"/>
      <c r="G60" s="73"/>
      <c r="H60" s="58">
        <f>+H61+H62+H63+H64+H65+H66+H67+H68+H69</f>
        <v>134309.32999999999</v>
      </c>
      <c r="I60" s="73">
        <f t="shared" ref="I60:Q60" si="5">+I61+I62+I63+I64+I65+I66+I67+I68+I69</f>
        <v>0</v>
      </c>
      <c r="J60" s="73">
        <f t="shared" si="5"/>
        <v>1390513.51</v>
      </c>
      <c r="K60" s="57">
        <f t="shared" si="5"/>
        <v>925975.64999999991</v>
      </c>
      <c r="L60" s="73">
        <f t="shared" si="5"/>
        <v>431432.07</v>
      </c>
      <c r="M60" s="73">
        <f t="shared" si="5"/>
        <v>725379.04</v>
      </c>
      <c r="N60" s="73">
        <f t="shared" si="5"/>
        <v>3454483.31</v>
      </c>
      <c r="O60" s="73">
        <f t="shared" si="5"/>
        <v>1264655.28</v>
      </c>
      <c r="P60" s="73">
        <f t="shared" si="5"/>
        <v>66363799.029999994</v>
      </c>
      <c r="Q60" s="73">
        <f t="shared" si="5"/>
        <v>0</v>
      </c>
      <c r="R60" s="80">
        <f t="shared" si="1"/>
        <v>74690547.219999999</v>
      </c>
      <c r="S60" s="28"/>
      <c r="T60" s="28"/>
    </row>
    <row r="61" spans="3:20" x14ac:dyDescent="0.25">
      <c r="C61" s="38" t="s">
        <v>44</v>
      </c>
      <c r="D61" s="32">
        <v>90000</v>
      </c>
      <c r="E61" s="87">
        <v>68838358.5</v>
      </c>
      <c r="F61" s="74"/>
      <c r="G61" s="74"/>
      <c r="H61" s="56">
        <v>134309.32999999999</v>
      </c>
      <c r="I61" s="74"/>
      <c r="J61" s="72">
        <v>1157015.1100000001</v>
      </c>
      <c r="K61" s="54">
        <f>70376.76+624620.73</f>
        <v>694997.49</v>
      </c>
      <c r="L61" s="72">
        <v>321692.07</v>
      </c>
      <c r="M61" s="72">
        <v>82279.039999999994</v>
      </c>
      <c r="N61" s="72">
        <v>2528883.31</v>
      </c>
      <c r="O61" s="85">
        <v>792656.81</v>
      </c>
      <c r="P61" s="72">
        <f>58764+632931.94</f>
        <v>691695.94</v>
      </c>
      <c r="Q61" s="74"/>
      <c r="R61" s="72">
        <f t="shared" si="1"/>
        <v>6403529.0999999996</v>
      </c>
      <c r="S61" s="28"/>
      <c r="T61" s="28"/>
    </row>
    <row r="62" spans="3:20" x14ac:dyDescent="0.25">
      <c r="C62" s="38" t="s">
        <v>45</v>
      </c>
      <c r="D62" s="32">
        <v>0</v>
      </c>
      <c r="E62" s="87">
        <v>1244774.54</v>
      </c>
      <c r="F62" s="74"/>
      <c r="G62" s="74"/>
      <c r="H62" s="56"/>
      <c r="I62" s="74"/>
      <c r="J62" s="72"/>
      <c r="K62" s="54"/>
      <c r="L62" s="72"/>
      <c r="M62" s="72"/>
      <c r="N62" s="72">
        <v>40710</v>
      </c>
      <c r="O62" s="85"/>
      <c r="P62" s="72"/>
      <c r="Q62" s="74"/>
      <c r="R62" s="72">
        <f t="shared" si="1"/>
        <v>40710</v>
      </c>
      <c r="S62" s="28"/>
      <c r="T62" s="28"/>
    </row>
    <row r="63" spans="3:20" x14ac:dyDescent="0.25">
      <c r="C63" s="38" t="s">
        <v>46</v>
      </c>
      <c r="D63" s="32">
        <v>0</v>
      </c>
      <c r="E63" s="87">
        <v>6000</v>
      </c>
      <c r="F63" s="74"/>
      <c r="G63" s="74"/>
      <c r="H63" s="56"/>
      <c r="I63" s="74"/>
      <c r="J63" s="72"/>
      <c r="K63" s="54"/>
      <c r="L63" s="72"/>
      <c r="M63" s="72"/>
      <c r="N63" s="72"/>
      <c r="O63" s="85"/>
      <c r="P63" s="72"/>
      <c r="Q63" s="74"/>
      <c r="R63" s="72"/>
      <c r="S63" s="28"/>
      <c r="T63" s="28"/>
    </row>
    <row r="64" spans="3:20" x14ac:dyDescent="0.25">
      <c r="C64" s="38" t="s">
        <v>47</v>
      </c>
      <c r="D64" s="32">
        <v>0</v>
      </c>
      <c r="E64" s="87">
        <v>92461735.680000007</v>
      </c>
      <c r="F64" s="74"/>
      <c r="G64" s="74"/>
      <c r="H64" s="56"/>
      <c r="I64" s="74"/>
      <c r="J64" s="72"/>
      <c r="K64" s="54"/>
      <c r="L64" s="72"/>
      <c r="M64" s="72"/>
      <c r="N64" s="72"/>
      <c r="O64" s="85"/>
      <c r="P64" s="72">
        <v>65218950.049999997</v>
      </c>
      <c r="Q64" s="74"/>
      <c r="R64" s="72">
        <f t="shared" si="1"/>
        <v>65218950.049999997</v>
      </c>
      <c r="S64" s="28"/>
      <c r="T64" s="28"/>
    </row>
    <row r="65" spans="3:20" x14ac:dyDescent="0.25">
      <c r="C65" s="38" t="s">
        <v>48</v>
      </c>
      <c r="D65" s="32">
        <v>0</v>
      </c>
      <c r="E65" s="87">
        <v>4081458.34</v>
      </c>
      <c r="F65" s="74"/>
      <c r="G65" s="74"/>
      <c r="H65" s="56"/>
      <c r="I65" s="74"/>
      <c r="J65" s="72">
        <v>233498.4</v>
      </c>
      <c r="K65" s="54">
        <f>83731.86+147246.3</f>
        <v>230978.15999999997</v>
      </c>
      <c r="L65" s="72">
        <v>109740</v>
      </c>
      <c r="M65" s="72"/>
      <c r="N65" s="72">
        <v>884890</v>
      </c>
      <c r="O65" s="85">
        <v>464918.47</v>
      </c>
      <c r="P65" s="72">
        <v>453153.04</v>
      </c>
      <c r="Q65" s="74"/>
      <c r="R65" s="72">
        <f t="shared" si="1"/>
        <v>2377178.0699999998</v>
      </c>
      <c r="S65" s="28"/>
      <c r="T65" s="28"/>
    </row>
    <row r="66" spans="3:20" x14ac:dyDescent="0.25">
      <c r="C66" s="38" t="s">
        <v>49</v>
      </c>
      <c r="D66" s="32">
        <v>0</v>
      </c>
      <c r="E66" s="87">
        <v>1227602</v>
      </c>
      <c r="F66" s="74"/>
      <c r="G66" s="74"/>
      <c r="H66" s="56"/>
      <c r="I66" s="74"/>
      <c r="J66" s="72"/>
      <c r="K66" s="54"/>
      <c r="L66" s="72"/>
      <c r="M66" s="72">
        <v>643100</v>
      </c>
      <c r="N66" s="72"/>
      <c r="O66" s="85">
        <v>7080</v>
      </c>
      <c r="P66" s="72"/>
      <c r="Q66" s="74"/>
      <c r="R66" s="72">
        <f t="shared" si="1"/>
        <v>650180</v>
      </c>
      <c r="S66" s="28"/>
      <c r="T66" s="28"/>
    </row>
    <row r="67" spans="3:20" x14ac:dyDescent="0.25">
      <c r="C67" s="38" t="s">
        <v>50</v>
      </c>
      <c r="D67" s="32"/>
      <c r="E67" s="87"/>
      <c r="F67" s="74"/>
      <c r="G67" s="74"/>
      <c r="H67" s="56"/>
      <c r="I67" s="74"/>
      <c r="J67" s="72"/>
      <c r="K67" s="54"/>
      <c r="L67" s="72"/>
      <c r="M67" s="72"/>
      <c r="N67" s="72"/>
      <c r="O67" s="72"/>
      <c r="P67" s="72"/>
      <c r="Q67" s="74"/>
      <c r="R67" s="72"/>
      <c r="S67" s="28"/>
      <c r="T67" s="28"/>
    </row>
    <row r="68" spans="3:20" x14ac:dyDescent="0.25">
      <c r="C68" s="38" t="s">
        <v>51</v>
      </c>
      <c r="D68" s="32"/>
      <c r="E68" s="87"/>
      <c r="F68" s="74"/>
      <c r="G68" s="74"/>
      <c r="H68" s="56"/>
      <c r="I68" s="74"/>
      <c r="J68" s="72"/>
      <c r="K68" s="54"/>
      <c r="L68" s="72"/>
      <c r="M68" s="72"/>
      <c r="N68" s="72"/>
      <c r="O68" s="72"/>
      <c r="P68" s="72"/>
      <c r="Q68" s="74"/>
      <c r="R68" s="72"/>
      <c r="S68" s="28"/>
      <c r="T68" s="28"/>
    </row>
    <row r="69" spans="3:20" x14ac:dyDescent="0.25">
      <c r="C69" s="38" t="s">
        <v>52</v>
      </c>
      <c r="D69" s="32"/>
      <c r="E69" s="87"/>
      <c r="F69" s="74"/>
      <c r="G69" s="74"/>
      <c r="H69" s="56"/>
      <c r="I69" s="74"/>
      <c r="J69" s="72"/>
      <c r="K69" s="54"/>
      <c r="L69" s="72"/>
      <c r="M69" s="72"/>
      <c r="N69" s="72"/>
      <c r="O69" s="72"/>
      <c r="P69" s="72"/>
      <c r="Q69" s="74"/>
      <c r="R69" s="72"/>
      <c r="S69" s="28"/>
      <c r="T69" s="28"/>
    </row>
    <row r="70" spans="3:20" x14ac:dyDescent="0.25">
      <c r="C70" s="39" t="s">
        <v>53</v>
      </c>
      <c r="D70" s="33"/>
      <c r="E70" s="88">
        <f>SUM(E71)</f>
        <v>5149903.92</v>
      </c>
      <c r="F70" s="73"/>
      <c r="G70" s="73"/>
      <c r="H70" s="58">
        <f>+H71+H72+H73+H74</f>
        <v>5149903.92</v>
      </c>
      <c r="I70" s="73">
        <f t="shared" ref="I70:Q70" si="6">+I71+I72+I73+I74</f>
        <v>0</v>
      </c>
      <c r="J70" s="73">
        <f t="shared" si="6"/>
        <v>0</v>
      </c>
      <c r="K70" s="57">
        <f t="shared" si="6"/>
        <v>0</v>
      </c>
      <c r="L70" s="73">
        <f t="shared" si="6"/>
        <v>0</v>
      </c>
      <c r="M70" s="73">
        <f t="shared" si="6"/>
        <v>0</v>
      </c>
      <c r="N70" s="73">
        <f t="shared" si="6"/>
        <v>0</v>
      </c>
      <c r="O70" s="73">
        <f t="shared" si="6"/>
        <v>0</v>
      </c>
      <c r="P70" s="73">
        <f t="shared" si="6"/>
        <v>0</v>
      </c>
      <c r="Q70" s="73">
        <f t="shared" si="6"/>
        <v>0</v>
      </c>
      <c r="R70" s="80">
        <f t="shared" si="1"/>
        <v>5149903.92</v>
      </c>
      <c r="S70" s="28"/>
      <c r="T70" s="28"/>
    </row>
    <row r="71" spans="3:20" x14ac:dyDescent="0.25">
      <c r="C71" s="38" t="s">
        <v>54</v>
      </c>
      <c r="D71" s="32">
        <v>0</v>
      </c>
      <c r="E71" s="87">
        <v>5149903.92</v>
      </c>
      <c r="F71" s="74"/>
      <c r="G71" s="74"/>
      <c r="H71" s="55">
        <v>5149903.92</v>
      </c>
      <c r="I71" s="74"/>
      <c r="J71" s="74"/>
      <c r="K71" s="59"/>
      <c r="L71" s="74"/>
      <c r="M71" s="74"/>
      <c r="N71" s="74"/>
      <c r="O71" s="74"/>
      <c r="P71" s="74"/>
      <c r="Q71" s="74"/>
      <c r="R71" s="72">
        <f>SUM(F71:Q71)</f>
        <v>5149903.92</v>
      </c>
    </row>
    <row r="72" spans="3:20" x14ac:dyDescent="0.25">
      <c r="C72" s="38" t="s">
        <v>55</v>
      </c>
      <c r="D72" s="32"/>
      <c r="E72" s="87"/>
      <c r="F72" s="74"/>
      <c r="G72" s="74"/>
      <c r="H72" s="56"/>
      <c r="I72" s="74"/>
      <c r="J72" s="74"/>
      <c r="K72" s="59"/>
      <c r="L72" s="74"/>
      <c r="M72" s="74"/>
      <c r="N72" s="74"/>
      <c r="O72" s="74"/>
      <c r="P72" s="74"/>
      <c r="Q72" s="74"/>
      <c r="R72" s="72"/>
    </row>
    <row r="73" spans="3:20" x14ac:dyDescent="0.25">
      <c r="C73" s="38" t="s">
        <v>56</v>
      </c>
      <c r="D73" s="32"/>
      <c r="E73" s="87"/>
      <c r="F73" s="75"/>
      <c r="G73" s="75"/>
      <c r="H73" s="61"/>
      <c r="I73" s="75"/>
      <c r="J73" s="75"/>
      <c r="K73" s="60"/>
      <c r="L73" s="75"/>
      <c r="M73" s="75"/>
      <c r="N73" s="75"/>
      <c r="O73" s="75"/>
      <c r="P73" s="75"/>
      <c r="Q73" s="75"/>
      <c r="R73" s="81"/>
    </row>
    <row r="74" spans="3:20" x14ac:dyDescent="0.25">
      <c r="C74" s="38" t="s">
        <v>57</v>
      </c>
      <c r="D74" s="32"/>
      <c r="E74" s="87"/>
      <c r="F74" s="75"/>
      <c r="G74" s="75"/>
      <c r="H74" s="61"/>
      <c r="I74" s="75"/>
      <c r="J74" s="75"/>
      <c r="K74" s="60"/>
      <c r="L74" s="75"/>
      <c r="M74" s="75"/>
      <c r="N74" s="75"/>
      <c r="O74" s="75"/>
      <c r="P74" s="75"/>
      <c r="Q74" s="75"/>
      <c r="R74" s="81"/>
    </row>
    <row r="75" spans="3:20" x14ac:dyDescent="0.25">
      <c r="C75" s="39" t="s">
        <v>58</v>
      </c>
      <c r="D75" s="33"/>
      <c r="E75" s="88"/>
      <c r="F75" s="76"/>
      <c r="G75" s="76"/>
      <c r="H75" s="63"/>
      <c r="I75" s="76"/>
      <c r="J75" s="76"/>
      <c r="K75" s="62"/>
      <c r="L75" s="76"/>
      <c r="M75" s="76"/>
      <c r="N75" s="76"/>
      <c r="O75" s="76"/>
      <c r="P75" s="76"/>
      <c r="Q75" s="76"/>
      <c r="R75" s="81"/>
    </row>
    <row r="76" spans="3:20" x14ac:dyDescent="0.25">
      <c r="C76" s="38" t="s">
        <v>59</v>
      </c>
      <c r="D76" s="32"/>
      <c r="E76" s="87"/>
      <c r="F76" s="75"/>
      <c r="G76" s="75"/>
      <c r="H76" s="61"/>
      <c r="I76" s="75"/>
      <c r="J76" s="75"/>
      <c r="K76" s="60"/>
      <c r="L76" s="75"/>
      <c r="M76" s="75"/>
      <c r="N76" s="75"/>
      <c r="O76" s="75"/>
      <c r="P76" s="75"/>
      <c r="Q76" s="75"/>
      <c r="R76" s="81"/>
    </row>
    <row r="77" spans="3:20" x14ac:dyDescent="0.25">
      <c r="C77" s="38" t="s">
        <v>60</v>
      </c>
      <c r="D77" s="32"/>
      <c r="E77" s="87"/>
      <c r="F77" s="75"/>
      <c r="G77" s="75"/>
      <c r="H77" s="61"/>
      <c r="I77" s="75"/>
      <c r="J77" s="75"/>
      <c r="K77" s="60"/>
      <c r="L77" s="75"/>
      <c r="M77" s="75"/>
      <c r="N77" s="75"/>
      <c r="O77" s="75"/>
      <c r="P77" s="75"/>
      <c r="Q77" s="75"/>
      <c r="R77" s="81"/>
    </row>
    <row r="78" spans="3:20" x14ac:dyDescent="0.25">
      <c r="C78" s="39" t="s">
        <v>61</v>
      </c>
      <c r="D78" s="33"/>
      <c r="E78" s="88"/>
      <c r="F78" s="76"/>
      <c r="G78" s="76"/>
      <c r="H78" s="63"/>
      <c r="I78" s="76"/>
      <c r="J78" s="76"/>
      <c r="K78" s="62"/>
      <c r="L78" s="76"/>
      <c r="M78" s="76"/>
      <c r="N78" s="76"/>
      <c r="O78" s="76"/>
      <c r="P78" s="76"/>
      <c r="Q78" s="76"/>
      <c r="R78" s="81"/>
    </row>
    <row r="79" spans="3:20" x14ac:dyDescent="0.25">
      <c r="C79" s="38" t="s">
        <v>62</v>
      </c>
      <c r="D79" s="32"/>
      <c r="E79" s="87"/>
      <c r="F79" s="75"/>
      <c r="G79" s="75"/>
      <c r="H79" s="61"/>
      <c r="I79" s="75"/>
      <c r="J79" s="75"/>
      <c r="K79" s="60"/>
      <c r="L79" s="75"/>
      <c r="M79" s="75"/>
      <c r="N79" s="75"/>
      <c r="O79" s="75"/>
      <c r="P79" s="75"/>
      <c r="Q79" s="75"/>
      <c r="R79" s="81"/>
    </row>
    <row r="80" spans="3:20" x14ac:dyDescent="0.25">
      <c r="C80" s="38" t="s">
        <v>63</v>
      </c>
      <c r="D80" s="32"/>
      <c r="E80" s="87"/>
      <c r="F80" s="75"/>
      <c r="G80" s="75"/>
      <c r="H80" s="61"/>
      <c r="I80" s="75"/>
      <c r="J80" s="75"/>
      <c r="K80" s="60"/>
      <c r="L80" s="75"/>
      <c r="M80" s="75"/>
      <c r="N80" s="75"/>
      <c r="O80" s="75"/>
      <c r="P80" s="75"/>
      <c r="Q80" s="75"/>
      <c r="R80" s="81"/>
    </row>
    <row r="81" spans="3:18" x14ac:dyDescent="0.25">
      <c r="C81" s="38" t="s">
        <v>64</v>
      </c>
      <c r="D81" s="32"/>
      <c r="E81" s="87"/>
      <c r="F81" s="75"/>
      <c r="G81" s="75"/>
      <c r="H81" s="61"/>
      <c r="I81" s="75"/>
      <c r="J81" s="75"/>
      <c r="K81" s="60"/>
      <c r="L81" s="75"/>
      <c r="M81" s="75"/>
      <c r="N81" s="75"/>
      <c r="O81" s="75"/>
      <c r="P81" s="75"/>
      <c r="Q81" s="75"/>
      <c r="R81" s="81"/>
    </row>
    <row r="82" spans="3:18" x14ac:dyDescent="0.25">
      <c r="C82" s="40" t="s">
        <v>69</v>
      </c>
      <c r="D82" s="34"/>
      <c r="E82" s="89"/>
      <c r="F82" s="76"/>
      <c r="G82" s="76"/>
      <c r="H82" s="63"/>
      <c r="I82" s="76"/>
      <c r="J82" s="76"/>
      <c r="K82" s="62"/>
      <c r="L82" s="76"/>
      <c r="M82" s="76"/>
      <c r="N82" s="76"/>
      <c r="O82" s="76"/>
      <c r="P82" s="76"/>
      <c r="Q82" s="76"/>
      <c r="R82" s="82"/>
    </row>
    <row r="83" spans="3:18" x14ac:dyDescent="0.25">
      <c r="C83" s="39" t="s">
        <v>70</v>
      </c>
      <c r="D83" s="33"/>
      <c r="E83" s="88"/>
      <c r="F83" s="77"/>
      <c r="G83" s="77"/>
      <c r="H83" s="65"/>
      <c r="I83" s="77"/>
      <c r="J83" s="77"/>
      <c r="K83" s="64"/>
      <c r="L83" s="77"/>
      <c r="M83" s="77"/>
      <c r="N83" s="77"/>
      <c r="O83" s="77"/>
      <c r="P83" s="77"/>
      <c r="Q83" s="77"/>
      <c r="R83" s="83"/>
    </row>
    <row r="84" spans="3:18" x14ac:dyDescent="0.25">
      <c r="C84" s="38" t="s">
        <v>71</v>
      </c>
      <c r="D84" s="32"/>
      <c r="E84" s="87"/>
      <c r="F84" s="77"/>
      <c r="G84" s="77"/>
      <c r="H84" s="65"/>
      <c r="I84" s="77"/>
      <c r="J84" s="77"/>
      <c r="K84" s="64"/>
      <c r="L84" s="77"/>
      <c r="M84" s="77"/>
      <c r="N84" s="77"/>
      <c r="O84" s="77"/>
      <c r="P84" s="77"/>
      <c r="Q84" s="77"/>
      <c r="R84" s="83"/>
    </row>
    <row r="85" spans="3:18" x14ac:dyDescent="0.25">
      <c r="C85" s="38" t="s">
        <v>72</v>
      </c>
      <c r="D85" s="32"/>
      <c r="E85" s="87"/>
      <c r="F85" s="77"/>
      <c r="G85" s="77"/>
      <c r="H85" s="65"/>
      <c r="I85" s="77"/>
      <c r="J85" s="77"/>
      <c r="K85" s="64"/>
      <c r="L85" s="77"/>
      <c r="M85" s="77"/>
      <c r="N85" s="77"/>
      <c r="O85" s="77"/>
      <c r="P85" s="77"/>
      <c r="Q85" s="77"/>
      <c r="R85" s="83"/>
    </row>
    <row r="86" spans="3:18" x14ac:dyDescent="0.25">
      <c r="C86" s="39" t="s">
        <v>73</v>
      </c>
      <c r="D86" s="33"/>
      <c r="E86" s="88"/>
      <c r="F86" s="77"/>
      <c r="G86" s="77"/>
      <c r="H86" s="65"/>
      <c r="I86" s="77"/>
      <c r="J86" s="77"/>
      <c r="K86" s="64"/>
      <c r="L86" s="77"/>
      <c r="M86" s="77"/>
      <c r="N86" s="77"/>
      <c r="O86" s="77"/>
      <c r="P86" s="77"/>
      <c r="Q86" s="77"/>
      <c r="R86" s="83"/>
    </row>
    <row r="87" spans="3:18" x14ac:dyDescent="0.25">
      <c r="C87" s="38" t="s">
        <v>74</v>
      </c>
      <c r="D87" s="32"/>
      <c r="E87" s="87"/>
      <c r="F87" s="77"/>
      <c r="G87" s="77"/>
      <c r="H87" s="65"/>
      <c r="I87" s="77"/>
      <c r="J87" s="77"/>
      <c r="K87" s="64"/>
      <c r="L87" s="77"/>
      <c r="M87" s="77"/>
      <c r="N87" s="77"/>
      <c r="O87" s="77"/>
      <c r="P87" s="77"/>
      <c r="Q87" s="77"/>
      <c r="R87" s="83"/>
    </row>
    <row r="88" spans="3:18" x14ac:dyDescent="0.25">
      <c r="C88" s="38" t="s">
        <v>75</v>
      </c>
      <c r="D88" s="32"/>
      <c r="E88" s="87"/>
      <c r="F88" s="77"/>
      <c r="G88" s="77"/>
      <c r="H88" s="65"/>
      <c r="I88" s="77"/>
      <c r="J88" s="77"/>
      <c r="K88" s="64"/>
      <c r="L88" s="77"/>
      <c r="M88" s="77"/>
      <c r="N88" s="77"/>
      <c r="O88" s="77"/>
      <c r="P88" s="77"/>
      <c r="Q88" s="77"/>
      <c r="R88" s="83"/>
    </row>
    <row r="89" spans="3:18" x14ac:dyDescent="0.25">
      <c r="C89" s="39" t="s">
        <v>76</v>
      </c>
      <c r="D89" s="33"/>
      <c r="E89" s="88"/>
      <c r="F89" s="77"/>
      <c r="G89" s="77"/>
      <c r="H89" s="65"/>
      <c r="I89" s="77"/>
      <c r="J89" s="77"/>
      <c r="K89" s="64"/>
      <c r="L89" s="77"/>
      <c r="M89" s="77"/>
      <c r="N89" s="77"/>
      <c r="O89" s="77"/>
      <c r="P89" s="77"/>
      <c r="Q89" s="77"/>
      <c r="R89" s="83"/>
    </row>
    <row r="90" spans="3:18" x14ac:dyDescent="0.25">
      <c r="C90" s="41" t="s">
        <v>77</v>
      </c>
      <c r="D90" s="35"/>
      <c r="E90" s="90"/>
      <c r="F90" s="78"/>
      <c r="G90" s="78"/>
      <c r="H90" s="67"/>
      <c r="I90" s="78"/>
      <c r="J90" s="78"/>
      <c r="K90" s="66"/>
      <c r="L90" s="78"/>
      <c r="M90" s="78"/>
      <c r="N90" s="78"/>
      <c r="O90" s="78"/>
      <c r="P90" s="78"/>
      <c r="Q90" s="78"/>
      <c r="R90" s="84"/>
    </row>
    <row r="91" spans="3:18" s="43" customFormat="1" x14ac:dyDescent="0.25">
      <c r="C91" s="70" t="s">
        <v>65</v>
      </c>
      <c r="D91" s="95">
        <f>+D18+D24+D34+D44+D60</f>
        <v>1265354144</v>
      </c>
      <c r="E91" s="95">
        <f>+E18+E24+E34+E44+E60+E70</f>
        <v>1909668450.7600002</v>
      </c>
      <c r="F91" s="96">
        <f>+F18</f>
        <v>526738.15</v>
      </c>
      <c r="G91" s="95">
        <f>+G18+G24+G34</f>
        <v>137855624.5</v>
      </c>
      <c r="H91" s="95">
        <f>+H18+H24+H34+H70+H60</f>
        <v>106227214.20999999</v>
      </c>
      <c r="I91" s="95">
        <f>+I18+I24+I34</f>
        <v>110406747.88</v>
      </c>
      <c r="J91" s="95">
        <f>+J18+J24+J34+J60</f>
        <v>98756839.870000005</v>
      </c>
      <c r="K91" s="95">
        <f>+K18+K24+K34+K60</f>
        <v>98713645.079999998</v>
      </c>
      <c r="L91" s="95">
        <f>+L18+L24+L34+L60</f>
        <v>85648108.260000005</v>
      </c>
      <c r="M91" s="95">
        <f>+M18+M24+M34+M60</f>
        <v>112563289.7</v>
      </c>
      <c r="N91" s="95">
        <f>+N24+N34+N18+N60</f>
        <v>117443318.02000001</v>
      </c>
      <c r="O91" s="95">
        <f>+O18+O24+O34+O60</f>
        <v>57755716.039999992</v>
      </c>
      <c r="P91" s="95">
        <f>+P18+P24+P34+P60</f>
        <v>257867843.56</v>
      </c>
      <c r="Q91" s="95">
        <f t="shared" ref="Q91" si="7">+Q18+Q24+Q34+Q60</f>
        <v>0</v>
      </c>
      <c r="R91" s="95">
        <f>+R18+R24+R34+R60</f>
        <v>1178615181.3499999</v>
      </c>
    </row>
    <row r="92" spans="3:18" x14ac:dyDescent="0.25">
      <c r="G92" s="28"/>
      <c r="H92" s="42"/>
      <c r="I92" s="28"/>
      <c r="J92" s="28"/>
      <c r="K92" s="28"/>
      <c r="L92" s="6"/>
      <c r="M92" s="6"/>
      <c r="N92" s="6"/>
      <c r="O92" s="6"/>
      <c r="P92" s="28"/>
    </row>
    <row r="93" spans="3:18" x14ac:dyDescent="0.25">
      <c r="C93" s="68" t="s">
        <v>107</v>
      </c>
    </row>
    <row r="94" spans="3:18" x14ac:dyDescent="0.25">
      <c r="C94" s="69" t="s">
        <v>108</v>
      </c>
    </row>
    <row r="95" spans="3:18" x14ac:dyDescent="0.25">
      <c r="C95" s="68" t="s">
        <v>109</v>
      </c>
    </row>
    <row r="96" spans="3:18" x14ac:dyDescent="0.25">
      <c r="C96" s="69" t="s">
        <v>110</v>
      </c>
    </row>
    <row r="97" spans="3:16" ht="15.75" x14ac:dyDescent="0.25">
      <c r="C97" s="68" t="s">
        <v>111</v>
      </c>
      <c r="D97"/>
      <c r="E97"/>
      <c r="G97" s="44"/>
      <c r="H97" s="46"/>
      <c r="I97" s="47"/>
      <c r="J97" s="47"/>
      <c r="L97" s="46"/>
      <c r="M97" s="46"/>
      <c r="N97" s="46"/>
      <c r="O97" s="46"/>
      <c r="P97" s="46"/>
    </row>
    <row r="98" spans="3:16" ht="15.75" x14ac:dyDescent="0.25">
      <c r="C98" s="69" t="s">
        <v>112</v>
      </c>
      <c r="D98"/>
      <c r="E98"/>
      <c r="G98" s="49"/>
      <c r="H98" s="49"/>
      <c r="I98" s="49"/>
      <c r="J98" s="49"/>
      <c r="L98" s="49"/>
      <c r="M98" s="49"/>
      <c r="N98" s="49"/>
      <c r="O98" s="49"/>
      <c r="P98" s="49"/>
    </row>
    <row r="99" spans="3:16" ht="15.75" x14ac:dyDescent="0.25"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3:16" ht="15.75" x14ac:dyDescent="0.25">
      <c r="F100" s="45" t="s">
        <v>103</v>
      </c>
      <c r="K100" s="48" t="s">
        <v>104</v>
      </c>
    </row>
    <row r="101" spans="3:16" ht="15.75" x14ac:dyDescent="0.25">
      <c r="F101" s="50" t="s">
        <v>105</v>
      </c>
      <c r="K101" s="51" t="s">
        <v>106</v>
      </c>
    </row>
    <row r="106" spans="3:16" x14ac:dyDescent="0.25">
      <c r="C106" t="s">
        <v>114</v>
      </c>
    </row>
  </sheetData>
  <mergeCells count="10">
    <mergeCell ref="C99:P99"/>
    <mergeCell ref="C13:R13"/>
    <mergeCell ref="F15:R15"/>
    <mergeCell ref="C9:R9"/>
    <mergeCell ref="C10:R10"/>
    <mergeCell ref="C15:C16"/>
    <mergeCell ref="D15:D16"/>
    <mergeCell ref="E15:E16"/>
    <mergeCell ref="C11:R11"/>
    <mergeCell ref="C12:R12"/>
  </mergeCells>
  <pageMargins left="0.25" right="0.25" top="0.75" bottom="0.75" header="0.3" footer="0.3"/>
  <pageSetup scale="33" orientation="landscape" r:id="rId1"/>
  <ignoredErrors>
    <ignoredError sqref="R71 R61:R66 R26:R33 R35:R41 R21" formulaRange="1"/>
    <ignoredError sqref="E18:E41 N9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99" t="s">
        <v>78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3:17" ht="21" customHeight="1" x14ac:dyDescent="0.25">
      <c r="C4" s="97" t="s">
        <v>67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3:17" ht="15.75" x14ac:dyDescent="0.25">
      <c r="C5" s="106" t="s">
        <v>68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3:17" ht="15.75" customHeight="1" x14ac:dyDescent="0.25">
      <c r="C6" s="101" t="s">
        <v>95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3:17" ht="15.75" customHeight="1" x14ac:dyDescent="0.25">
      <c r="C7" s="102" t="s">
        <v>80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2021-12-07T19:12:09Z</cp:lastPrinted>
  <dcterms:created xsi:type="dcterms:W3CDTF">2021-07-29T18:58:50Z</dcterms:created>
  <dcterms:modified xsi:type="dcterms:W3CDTF">2021-12-07T20:18:51Z</dcterms:modified>
</cp:coreProperties>
</file>